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СДП!$A$10:$CQ$302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СДП!$A:$G,СДП!$5:$8</definedName>
  </definedNames>
  <calcPr calcId="145621"/>
</workbook>
</file>

<file path=xl/calcChain.xml><?xml version="1.0" encoding="utf-8"?>
<calcChain xmlns="http://schemas.openxmlformats.org/spreadsheetml/2006/main">
  <c r="CQ304" i="1" l="1"/>
  <c r="CP304" i="1"/>
  <c r="CQ303" i="1"/>
  <c r="CP303" i="1"/>
  <c r="AK302" i="1" l="1"/>
  <c r="AJ302" i="1"/>
  <c r="CP289" i="1"/>
  <c r="CK289" i="1"/>
  <c r="CI289" i="1"/>
  <c r="CG289" i="1"/>
  <c r="CE289" i="1"/>
  <c r="CC289" i="1"/>
  <c r="CA289" i="1"/>
  <c r="BY289" i="1"/>
  <c r="BW289" i="1"/>
  <c r="BU289" i="1"/>
  <c r="BS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O289" i="1"/>
  <c r="AM289" i="1"/>
  <c r="AI289" i="1"/>
  <c r="AG289" i="1"/>
  <c r="AE289" i="1"/>
  <c r="AC289" i="1"/>
  <c r="Y289" i="1"/>
  <c r="W289" i="1"/>
  <c r="U289" i="1"/>
  <c r="S289" i="1"/>
  <c r="Q289" i="1"/>
  <c r="CP288" i="1"/>
  <c r="CK288" i="1"/>
  <c r="CI288" i="1"/>
  <c r="CG288" i="1"/>
  <c r="CE288" i="1"/>
  <c r="CC288" i="1"/>
  <c r="CA288" i="1"/>
  <c r="BY288" i="1"/>
  <c r="BW288" i="1"/>
  <c r="BU288" i="1"/>
  <c r="BS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O288" i="1"/>
  <c r="AM288" i="1"/>
  <c r="AI288" i="1"/>
  <c r="AG288" i="1"/>
  <c r="AE288" i="1"/>
  <c r="AC288" i="1"/>
  <c r="Y288" i="1"/>
  <c r="W288" i="1"/>
  <c r="U288" i="1"/>
  <c r="S288" i="1"/>
  <c r="Q288" i="1"/>
  <c r="CP287" i="1"/>
  <c r="CK287" i="1"/>
  <c r="CI287" i="1"/>
  <c r="CG287" i="1"/>
  <c r="CE287" i="1"/>
  <c r="CC287" i="1"/>
  <c r="CA287" i="1"/>
  <c r="BY287" i="1"/>
  <c r="BW287" i="1"/>
  <c r="BU287" i="1"/>
  <c r="BS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O287" i="1"/>
  <c r="AM287" i="1"/>
  <c r="AI287" i="1"/>
  <c r="AG287" i="1"/>
  <c r="AE287" i="1"/>
  <c r="AC287" i="1"/>
  <c r="Y287" i="1"/>
  <c r="W287" i="1"/>
  <c r="U287" i="1"/>
  <c r="S287" i="1"/>
  <c r="Q287" i="1"/>
  <c r="CP286" i="1"/>
  <c r="CK286" i="1"/>
  <c r="CI286" i="1"/>
  <c r="CG286" i="1"/>
  <c r="CE286" i="1"/>
  <c r="CC286" i="1"/>
  <c r="CA286" i="1"/>
  <c r="BY286" i="1"/>
  <c r="BW286" i="1"/>
  <c r="BU286" i="1"/>
  <c r="BS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O286" i="1"/>
  <c r="AM286" i="1"/>
  <c r="AI286" i="1"/>
  <c r="AG286" i="1"/>
  <c r="AE286" i="1"/>
  <c r="AC286" i="1"/>
  <c r="Y286" i="1"/>
  <c r="W286" i="1"/>
  <c r="U286" i="1"/>
  <c r="S286" i="1"/>
  <c r="Q286" i="1"/>
  <c r="CP285" i="1"/>
  <c r="CK285" i="1"/>
  <c r="CI285" i="1"/>
  <c r="CG285" i="1"/>
  <c r="CE285" i="1"/>
  <c r="CC285" i="1"/>
  <c r="CA285" i="1"/>
  <c r="BY285" i="1"/>
  <c r="BW285" i="1"/>
  <c r="BU285" i="1"/>
  <c r="BS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O285" i="1"/>
  <c r="AM285" i="1"/>
  <c r="AI285" i="1"/>
  <c r="AG285" i="1"/>
  <c r="AE285" i="1"/>
  <c r="AC285" i="1"/>
  <c r="Y285" i="1"/>
  <c r="W285" i="1"/>
  <c r="U285" i="1"/>
  <c r="S285" i="1"/>
  <c r="Q285" i="1"/>
  <c r="CP284" i="1"/>
  <c r="CK284" i="1"/>
  <c r="CI284" i="1"/>
  <c r="CG284" i="1"/>
  <c r="CE284" i="1"/>
  <c r="CC284" i="1"/>
  <c r="CA284" i="1"/>
  <c r="BY284" i="1"/>
  <c r="BW284" i="1"/>
  <c r="BU284" i="1"/>
  <c r="BS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O284" i="1"/>
  <c r="AM284" i="1"/>
  <c r="AI284" i="1"/>
  <c r="AG284" i="1"/>
  <c r="AE284" i="1"/>
  <c r="AC284" i="1"/>
  <c r="Y284" i="1"/>
  <c r="W284" i="1"/>
  <c r="U284" i="1"/>
  <c r="S284" i="1"/>
  <c r="Q284" i="1"/>
  <c r="CP283" i="1"/>
  <c r="CK283" i="1"/>
  <c r="CI283" i="1"/>
  <c r="CG283" i="1"/>
  <c r="CE283" i="1"/>
  <c r="CC283" i="1"/>
  <c r="CA283" i="1"/>
  <c r="BY283" i="1"/>
  <c r="BW283" i="1"/>
  <c r="BU283" i="1"/>
  <c r="BS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O283" i="1"/>
  <c r="AM283" i="1"/>
  <c r="AI283" i="1"/>
  <c r="AG283" i="1"/>
  <c r="AE283" i="1"/>
  <c r="AC283" i="1"/>
  <c r="Y283" i="1"/>
  <c r="W283" i="1"/>
  <c r="U283" i="1"/>
  <c r="S283" i="1"/>
  <c r="Q283" i="1"/>
  <c r="CP282" i="1"/>
  <c r="CK282" i="1"/>
  <c r="CI282" i="1"/>
  <c r="CG282" i="1"/>
  <c r="CE282" i="1"/>
  <c r="CC282" i="1"/>
  <c r="CA282" i="1"/>
  <c r="BY282" i="1"/>
  <c r="BW282" i="1"/>
  <c r="BU282" i="1"/>
  <c r="BS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O282" i="1"/>
  <c r="AM282" i="1"/>
  <c r="AI282" i="1"/>
  <c r="AG282" i="1"/>
  <c r="AE282" i="1"/>
  <c r="AC282" i="1"/>
  <c r="Y282" i="1"/>
  <c r="W282" i="1"/>
  <c r="U282" i="1"/>
  <c r="S282" i="1"/>
  <c r="Q282" i="1"/>
  <c r="CP281" i="1"/>
  <c r="CK281" i="1"/>
  <c r="CI281" i="1"/>
  <c r="CG281" i="1"/>
  <c r="CE281" i="1"/>
  <c r="CC281" i="1"/>
  <c r="CA281" i="1"/>
  <c r="BY281" i="1"/>
  <c r="BW281" i="1"/>
  <c r="BU281" i="1"/>
  <c r="BS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O281" i="1"/>
  <c r="AM281" i="1"/>
  <c r="AI281" i="1"/>
  <c r="AG281" i="1"/>
  <c r="AE281" i="1"/>
  <c r="AC281" i="1"/>
  <c r="Y281" i="1"/>
  <c r="W281" i="1"/>
  <c r="U281" i="1"/>
  <c r="S281" i="1"/>
  <c r="Q281" i="1"/>
  <c r="CP280" i="1"/>
  <c r="CK280" i="1"/>
  <c r="CI280" i="1"/>
  <c r="CG280" i="1"/>
  <c r="CE280" i="1"/>
  <c r="CC280" i="1"/>
  <c r="CA280" i="1"/>
  <c r="BY280" i="1"/>
  <c r="BW280" i="1"/>
  <c r="BU280" i="1"/>
  <c r="BS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O280" i="1"/>
  <c r="AM280" i="1"/>
  <c r="AI280" i="1"/>
  <c r="AG280" i="1"/>
  <c r="AE280" i="1"/>
  <c r="AC280" i="1"/>
  <c r="Y280" i="1"/>
  <c r="W280" i="1"/>
  <c r="U280" i="1"/>
  <c r="S280" i="1"/>
  <c r="Q280" i="1"/>
  <c r="CP279" i="1"/>
  <c r="CK279" i="1"/>
  <c r="CI279" i="1"/>
  <c r="CG279" i="1"/>
  <c r="CE279" i="1"/>
  <c r="CC279" i="1"/>
  <c r="CA279" i="1"/>
  <c r="BY279" i="1"/>
  <c r="BW279" i="1"/>
  <c r="BU279" i="1"/>
  <c r="BS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O279" i="1"/>
  <c r="AM279" i="1"/>
  <c r="AI279" i="1"/>
  <c r="AG279" i="1"/>
  <c r="AE279" i="1"/>
  <c r="AC279" i="1"/>
  <c r="Y279" i="1"/>
  <c r="W279" i="1"/>
  <c r="U279" i="1"/>
  <c r="S279" i="1"/>
  <c r="Q279" i="1"/>
  <c r="CP278" i="1"/>
  <c r="CK278" i="1"/>
  <c r="CI278" i="1"/>
  <c r="CG278" i="1"/>
  <c r="CE278" i="1"/>
  <c r="CC278" i="1"/>
  <c r="CA278" i="1"/>
  <c r="BY278" i="1"/>
  <c r="BW278" i="1"/>
  <c r="BU278" i="1"/>
  <c r="BS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O278" i="1"/>
  <c r="AM278" i="1"/>
  <c r="AI278" i="1"/>
  <c r="AG278" i="1"/>
  <c r="AE278" i="1"/>
  <c r="AC278" i="1"/>
  <c r="Y278" i="1"/>
  <c r="W278" i="1"/>
  <c r="U278" i="1"/>
  <c r="S278" i="1"/>
  <c r="Q278" i="1"/>
  <c r="CP277" i="1"/>
  <c r="CK277" i="1"/>
  <c r="CI277" i="1"/>
  <c r="CG277" i="1"/>
  <c r="CE277" i="1"/>
  <c r="CC277" i="1"/>
  <c r="CA277" i="1"/>
  <c r="BY277" i="1"/>
  <c r="BW277" i="1"/>
  <c r="BU277" i="1"/>
  <c r="BS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O277" i="1"/>
  <c r="AM277" i="1"/>
  <c r="AI277" i="1"/>
  <c r="AG277" i="1"/>
  <c r="AE277" i="1"/>
  <c r="AC277" i="1"/>
  <c r="Y277" i="1"/>
  <c r="W277" i="1"/>
  <c r="U277" i="1"/>
  <c r="S277" i="1"/>
  <c r="Q277" i="1"/>
  <c r="CP276" i="1"/>
  <c r="CK276" i="1"/>
  <c r="CI276" i="1"/>
  <c r="CG276" i="1"/>
  <c r="CE276" i="1"/>
  <c r="CC276" i="1"/>
  <c r="CA276" i="1"/>
  <c r="BY276" i="1"/>
  <c r="BW276" i="1"/>
  <c r="BU276" i="1"/>
  <c r="BS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O276" i="1"/>
  <c r="AM276" i="1"/>
  <c r="AI276" i="1"/>
  <c r="AG276" i="1"/>
  <c r="AE276" i="1"/>
  <c r="AC276" i="1"/>
  <c r="Y276" i="1"/>
  <c r="W276" i="1"/>
  <c r="U276" i="1"/>
  <c r="S276" i="1"/>
  <c r="Q276" i="1"/>
  <c r="CP275" i="1"/>
  <c r="CK275" i="1"/>
  <c r="CI275" i="1"/>
  <c r="CG275" i="1"/>
  <c r="CE275" i="1"/>
  <c r="CC275" i="1"/>
  <c r="CA275" i="1"/>
  <c r="BY275" i="1"/>
  <c r="BW275" i="1"/>
  <c r="BU275" i="1"/>
  <c r="BS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O275" i="1"/>
  <c r="AM275" i="1"/>
  <c r="AI275" i="1"/>
  <c r="AG275" i="1"/>
  <c r="AE275" i="1"/>
  <c r="AC275" i="1"/>
  <c r="Y275" i="1"/>
  <c r="W275" i="1"/>
  <c r="U275" i="1"/>
  <c r="S275" i="1"/>
  <c r="Q275" i="1"/>
  <c r="CP274" i="1"/>
  <c r="CK274" i="1"/>
  <c r="CI274" i="1"/>
  <c r="CG274" i="1"/>
  <c r="CE274" i="1"/>
  <c r="CC274" i="1"/>
  <c r="CA274" i="1"/>
  <c r="BY274" i="1"/>
  <c r="BW274" i="1"/>
  <c r="BU274" i="1"/>
  <c r="BS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O274" i="1"/>
  <c r="AM274" i="1"/>
  <c r="AI274" i="1"/>
  <c r="AG274" i="1"/>
  <c r="AE274" i="1"/>
  <c r="AC274" i="1"/>
  <c r="Y274" i="1"/>
  <c r="W274" i="1"/>
  <c r="U274" i="1"/>
  <c r="S274" i="1"/>
  <c r="Q274" i="1"/>
  <c r="CO273" i="1"/>
  <c r="CN273" i="1"/>
  <c r="CM273" i="1"/>
  <c r="CL273" i="1"/>
  <c r="CJ273" i="1"/>
  <c r="CH273" i="1"/>
  <c r="CF273" i="1"/>
  <c r="CD273" i="1"/>
  <c r="CB273" i="1"/>
  <c r="BZ273" i="1"/>
  <c r="BX273" i="1"/>
  <c r="BV273" i="1"/>
  <c r="BT273" i="1"/>
  <c r="BR273" i="1"/>
  <c r="BQ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Q273" i="1"/>
  <c r="AP273" i="1"/>
  <c r="AN273" i="1"/>
  <c r="AL273" i="1"/>
  <c r="AH273" i="1"/>
  <c r="AF273" i="1"/>
  <c r="AD273" i="1"/>
  <c r="AB273" i="1"/>
  <c r="AA273" i="1"/>
  <c r="Z273" i="1"/>
  <c r="X273" i="1"/>
  <c r="V273" i="1"/>
  <c r="T273" i="1"/>
  <c r="R273" i="1"/>
  <c r="P273" i="1"/>
  <c r="CP272" i="1"/>
  <c r="CK272" i="1"/>
  <c r="CI272" i="1"/>
  <c r="CG272" i="1"/>
  <c r="CE272" i="1"/>
  <c r="CC272" i="1"/>
  <c r="CA272" i="1"/>
  <c r="BY272" i="1"/>
  <c r="BW272" i="1"/>
  <c r="BU272" i="1"/>
  <c r="BS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O272" i="1"/>
  <c r="AM272" i="1"/>
  <c r="AI272" i="1"/>
  <c r="AG272" i="1"/>
  <c r="AE272" i="1"/>
  <c r="AC272" i="1"/>
  <c r="Y272" i="1"/>
  <c r="W272" i="1"/>
  <c r="U272" i="1"/>
  <c r="S272" i="1"/>
  <c r="Q272" i="1"/>
  <c r="CP271" i="1"/>
  <c r="CI271" i="1"/>
  <c r="CG271" i="1"/>
  <c r="CE271" i="1"/>
  <c r="CC271" i="1"/>
  <c r="CA271" i="1"/>
  <c r="BY271" i="1"/>
  <c r="BW271" i="1"/>
  <c r="BU271" i="1"/>
  <c r="BS271" i="1"/>
  <c r="BO271" i="1"/>
  <c r="BM271" i="1"/>
  <c r="BK271" i="1"/>
  <c r="BI271" i="1"/>
  <c r="BG271" i="1"/>
  <c r="BE271" i="1"/>
  <c r="AO271" i="1"/>
  <c r="AM271" i="1"/>
  <c r="AI271" i="1"/>
  <c r="AG271" i="1"/>
  <c r="AE271" i="1"/>
  <c r="AA271" i="1"/>
  <c r="Y271" i="1"/>
  <c r="W271" i="1"/>
  <c r="U271" i="1"/>
  <c r="S271" i="1"/>
  <c r="Q271" i="1"/>
  <c r="CP270" i="1"/>
  <c r="CI270" i="1"/>
  <c r="CG270" i="1"/>
  <c r="CE270" i="1"/>
  <c r="CC270" i="1"/>
  <c r="CA270" i="1"/>
  <c r="BY270" i="1"/>
  <c r="BW270" i="1"/>
  <c r="BU270" i="1"/>
  <c r="BS270" i="1"/>
  <c r="BO270" i="1"/>
  <c r="BM270" i="1"/>
  <c r="BK270" i="1"/>
  <c r="BI270" i="1"/>
  <c r="BG270" i="1"/>
  <c r="BE270" i="1"/>
  <c r="AO270" i="1"/>
  <c r="AM270" i="1"/>
  <c r="AI270" i="1"/>
  <c r="AG270" i="1"/>
  <c r="AE270" i="1"/>
  <c r="AA270" i="1"/>
  <c r="Y270" i="1"/>
  <c r="W270" i="1"/>
  <c r="U270" i="1"/>
  <c r="S270" i="1"/>
  <c r="Q270" i="1"/>
  <c r="CP269" i="1"/>
  <c r="CI269" i="1"/>
  <c r="CG269" i="1"/>
  <c r="CE269" i="1"/>
  <c r="CC269" i="1"/>
  <c r="CA269" i="1"/>
  <c r="BY269" i="1"/>
  <c r="BW269" i="1"/>
  <c r="BU269" i="1"/>
  <c r="BS269" i="1"/>
  <c r="BO269" i="1"/>
  <c r="BM269" i="1"/>
  <c r="BK269" i="1"/>
  <c r="BI269" i="1"/>
  <c r="BG269" i="1"/>
  <c r="BE269" i="1"/>
  <c r="AO269" i="1"/>
  <c r="AM269" i="1"/>
  <c r="AI269" i="1"/>
  <c r="AG269" i="1"/>
  <c r="AE269" i="1"/>
  <c r="AA269" i="1"/>
  <c r="Y269" i="1"/>
  <c r="W269" i="1"/>
  <c r="U269" i="1"/>
  <c r="S269" i="1"/>
  <c r="Q269" i="1"/>
  <c r="CP268" i="1"/>
  <c r="CI268" i="1"/>
  <c r="CG268" i="1"/>
  <c r="CE268" i="1"/>
  <c r="CC268" i="1"/>
  <c r="CA268" i="1"/>
  <c r="BY268" i="1"/>
  <c r="BW268" i="1"/>
  <c r="BU268" i="1"/>
  <c r="BS268" i="1"/>
  <c r="BO268" i="1"/>
  <c r="BM268" i="1"/>
  <c r="BK268" i="1"/>
  <c r="BI268" i="1"/>
  <c r="BG268" i="1"/>
  <c r="BE268" i="1"/>
  <c r="AO268" i="1"/>
  <c r="AM268" i="1"/>
  <c r="AI268" i="1"/>
  <c r="AG268" i="1"/>
  <c r="AE268" i="1"/>
  <c r="AA268" i="1"/>
  <c r="Y268" i="1"/>
  <c r="W268" i="1"/>
  <c r="U268" i="1"/>
  <c r="S268" i="1"/>
  <c r="Q268" i="1"/>
  <c r="CP267" i="1"/>
  <c r="CI267" i="1"/>
  <c r="CG267" i="1"/>
  <c r="CE267" i="1"/>
  <c r="CC267" i="1"/>
  <c r="CA267" i="1"/>
  <c r="BY267" i="1"/>
  <c r="BW267" i="1"/>
  <c r="BU267" i="1"/>
  <c r="BS267" i="1"/>
  <c r="BO267" i="1"/>
  <c r="BM267" i="1"/>
  <c r="BK267" i="1"/>
  <c r="BI267" i="1"/>
  <c r="BG267" i="1"/>
  <c r="BE267" i="1"/>
  <c r="AO267" i="1"/>
  <c r="AM267" i="1"/>
  <c r="AI267" i="1"/>
  <c r="AG267" i="1"/>
  <c r="AE267" i="1"/>
  <c r="AA267" i="1"/>
  <c r="Y267" i="1"/>
  <c r="W267" i="1"/>
  <c r="U267" i="1"/>
  <c r="S267" i="1"/>
  <c r="Q267" i="1"/>
  <c r="CP266" i="1"/>
  <c r="CI266" i="1"/>
  <c r="CG266" i="1"/>
  <c r="CE266" i="1"/>
  <c r="CC266" i="1"/>
  <c r="CA266" i="1"/>
  <c r="BY266" i="1"/>
  <c r="BW266" i="1"/>
  <c r="BU266" i="1"/>
  <c r="BS266" i="1"/>
  <c r="BO266" i="1"/>
  <c r="BM266" i="1"/>
  <c r="BK266" i="1"/>
  <c r="BI266" i="1"/>
  <c r="BG266" i="1"/>
  <c r="BE266" i="1"/>
  <c r="AO266" i="1"/>
  <c r="AM266" i="1"/>
  <c r="AI266" i="1"/>
  <c r="AG266" i="1"/>
  <c r="AE266" i="1"/>
  <c r="AA266" i="1"/>
  <c r="Y266" i="1"/>
  <c r="W266" i="1"/>
  <c r="U266" i="1"/>
  <c r="S266" i="1"/>
  <c r="Q266" i="1"/>
  <c r="CP265" i="1"/>
  <c r="CI265" i="1"/>
  <c r="CG265" i="1"/>
  <c r="CE265" i="1"/>
  <c r="CC265" i="1"/>
  <c r="CA265" i="1"/>
  <c r="BY265" i="1"/>
  <c r="BW265" i="1"/>
  <c r="BU265" i="1"/>
  <c r="BS265" i="1"/>
  <c r="BO265" i="1"/>
  <c r="BM265" i="1"/>
  <c r="BK265" i="1"/>
  <c r="BI265" i="1"/>
  <c r="BG265" i="1"/>
  <c r="BE265" i="1"/>
  <c r="AO265" i="1"/>
  <c r="AM265" i="1"/>
  <c r="AI265" i="1"/>
  <c r="AG265" i="1"/>
  <c r="AE265" i="1"/>
  <c r="AA265" i="1"/>
  <c r="Y265" i="1"/>
  <c r="W265" i="1"/>
  <c r="U265" i="1"/>
  <c r="S265" i="1"/>
  <c r="Q265" i="1"/>
  <c r="CP264" i="1"/>
  <c r="CI264" i="1"/>
  <c r="CG264" i="1"/>
  <c r="CE264" i="1"/>
  <c r="CC264" i="1"/>
  <c r="CA264" i="1"/>
  <c r="BY264" i="1"/>
  <c r="BW264" i="1"/>
  <c r="BU264" i="1"/>
  <c r="BS264" i="1"/>
  <c r="BO264" i="1"/>
  <c r="BM264" i="1"/>
  <c r="BK264" i="1"/>
  <c r="BI264" i="1"/>
  <c r="BG264" i="1"/>
  <c r="BE264" i="1"/>
  <c r="AO264" i="1"/>
  <c r="AM264" i="1"/>
  <c r="AI264" i="1"/>
  <c r="AG264" i="1"/>
  <c r="AE264" i="1"/>
  <c r="AA264" i="1"/>
  <c r="Y264" i="1"/>
  <c r="W264" i="1"/>
  <c r="U264" i="1"/>
  <c r="S264" i="1"/>
  <c r="Q264" i="1"/>
  <c r="CP263" i="1"/>
  <c r="CI263" i="1"/>
  <c r="CG263" i="1"/>
  <c r="CE263" i="1"/>
  <c r="CC263" i="1"/>
  <c r="CA263" i="1"/>
  <c r="BY263" i="1"/>
  <c r="BW263" i="1"/>
  <c r="BU263" i="1"/>
  <c r="BS263" i="1"/>
  <c r="BO263" i="1"/>
  <c r="BM263" i="1"/>
  <c r="BK263" i="1"/>
  <c r="BI263" i="1"/>
  <c r="BG263" i="1"/>
  <c r="BE263" i="1"/>
  <c r="AO263" i="1"/>
  <c r="AM263" i="1"/>
  <c r="AI263" i="1"/>
  <c r="AG263" i="1"/>
  <c r="AE263" i="1"/>
  <c r="AA263" i="1"/>
  <c r="Y263" i="1"/>
  <c r="W263" i="1"/>
  <c r="U263" i="1"/>
  <c r="S263" i="1"/>
  <c r="Q263" i="1"/>
  <c r="CP262" i="1"/>
  <c r="CI262" i="1"/>
  <c r="CG262" i="1"/>
  <c r="CE262" i="1"/>
  <c r="CC262" i="1"/>
  <c r="CA262" i="1"/>
  <c r="BY262" i="1"/>
  <c r="BW262" i="1"/>
  <c r="BU262" i="1"/>
  <c r="BS262" i="1"/>
  <c r="BO262" i="1"/>
  <c r="BM262" i="1"/>
  <c r="BK262" i="1"/>
  <c r="BI262" i="1"/>
  <c r="BG262" i="1"/>
  <c r="BE262" i="1"/>
  <c r="AO262" i="1"/>
  <c r="AM262" i="1"/>
  <c r="AI262" i="1"/>
  <c r="AG262" i="1"/>
  <c r="AE262" i="1"/>
  <c r="AA262" i="1"/>
  <c r="Y262" i="1"/>
  <c r="W262" i="1"/>
  <c r="U262" i="1"/>
  <c r="S262" i="1"/>
  <c r="Q262" i="1"/>
  <c r="CP261" i="1"/>
  <c r="CI261" i="1"/>
  <c r="CG261" i="1"/>
  <c r="CE261" i="1"/>
  <c r="CC261" i="1"/>
  <c r="CA261" i="1"/>
  <c r="BY261" i="1"/>
  <c r="BW261" i="1"/>
  <c r="BU261" i="1"/>
  <c r="BS261" i="1"/>
  <c r="BO261" i="1"/>
  <c r="BM261" i="1"/>
  <c r="BK261" i="1"/>
  <c r="BI261" i="1"/>
  <c r="BG261" i="1"/>
  <c r="BE261" i="1"/>
  <c r="AO261" i="1"/>
  <c r="AM261" i="1"/>
  <c r="AI261" i="1"/>
  <c r="AG261" i="1"/>
  <c r="AE261" i="1"/>
  <c r="AA261" i="1"/>
  <c r="Y261" i="1"/>
  <c r="W261" i="1"/>
  <c r="U261" i="1"/>
  <c r="S261" i="1"/>
  <c r="Q261" i="1"/>
  <c r="CP260" i="1"/>
  <c r="CI260" i="1"/>
  <c r="CG260" i="1"/>
  <c r="CE260" i="1"/>
  <c r="CC260" i="1"/>
  <c r="CA260" i="1"/>
  <c r="BY260" i="1"/>
  <c r="BW260" i="1"/>
  <c r="BU260" i="1"/>
  <c r="BS260" i="1"/>
  <c r="BO260" i="1"/>
  <c r="BM260" i="1"/>
  <c r="BK260" i="1"/>
  <c r="BI260" i="1"/>
  <c r="BG260" i="1"/>
  <c r="BE260" i="1"/>
  <c r="AO260" i="1"/>
  <c r="AM260" i="1"/>
  <c r="AI260" i="1"/>
  <c r="AG260" i="1"/>
  <c r="AE260" i="1"/>
  <c r="AA260" i="1"/>
  <c r="Y260" i="1"/>
  <c r="W260" i="1"/>
  <c r="U260" i="1"/>
  <c r="S260" i="1"/>
  <c r="Q260" i="1"/>
  <c r="CP259" i="1"/>
  <c r="CI259" i="1"/>
  <c r="CG259" i="1"/>
  <c r="CE259" i="1"/>
  <c r="CC259" i="1"/>
  <c r="CA259" i="1"/>
  <c r="BY259" i="1"/>
  <c r="BW259" i="1"/>
  <c r="BU259" i="1"/>
  <c r="BS259" i="1"/>
  <c r="BO259" i="1"/>
  <c r="BM259" i="1"/>
  <c r="BK259" i="1"/>
  <c r="BI259" i="1"/>
  <c r="BG259" i="1"/>
  <c r="BE259" i="1"/>
  <c r="AO259" i="1"/>
  <c r="AM259" i="1"/>
  <c r="AI259" i="1"/>
  <c r="AG259" i="1"/>
  <c r="AE259" i="1"/>
  <c r="AA259" i="1"/>
  <c r="Y259" i="1"/>
  <c r="W259" i="1"/>
  <c r="U259" i="1"/>
  <c r="S259" i="1"/>
  <c r="Q259" i="1"/>
  <c r="CP258" i="1"/>
  <c r="CI258" i="1"/>
  <c r="CG258" i="1"/>
  <c r="CE258" i="1"/>
  <c r="CC258" i="1"/>
  <c r="CA258" i="1"/>
  <c r="BY258" i="1"/>
  <c r="BW258" i="1"/>
  <c r="BU258" i="1"/>
  <c r="BS258" i="1"/>
  <c r="BO258" i="1"/>
  <c r="BM258" i="1"/>
  <c r="BK258" i="1"/>
  <c r="BI258" i="1"/>
  <c r="BG258" i="1"/>
  <c r="BE258" i="1"/>
  <c r="AO258" i="1"/>
  <c r="AM258" i="1"/>
  <c r="AI258" i="1"/>
  <c r="AG258" i="1"/>
  <c r="AE258" i="1"/>
  <c r="AA258" i="1"/>
  <c r="Y258" i="1"/>
  <c r="W258" i="1"/>
  <c r="U258" i="1"/>
  <c r="S258" i="1"/>
  <c r="Q258" i="1"/>
  <c r="CP257" i="1"/>
  <c r="CI257" i="1"/>
  <c r="CG257" i="1"/>
  <c r="CE257" i="1"/>
  <c r="CC257" i="1"/>
  <c r="CA257" i="1"/>
  <c r="BY257" i="1"/>
  <c r="BW257" i="1"/>
  <c r="BU257" i="1"/>
  <c r="BS257" i="1"/>
  <c r="BO257" i="1"/>
  <c r="BM257" i="1"/>
  <c r="BK257" i="1"/>
  <c r="BI257" i="1"/>
  <c r="BG257" i="1"/>
  <c r="BE257" i="1"/>
  <c r="AO257" i="1"/>
  <c r="AM257" i="1"/>
  <c r="AI257" i="1"/>
  <c r="AG257" i="1"/>
  <c r="AE257" i="1"/>
  <c r="AA257" i="1"/>
  <c r="Y257" i="1"/>
  <c r="W257" i="1"/>
  <c r="U257" i="1"/>
  <c r="S257" i="1"/>
  <c r="Q257" i="1"/>
  <c r="CP256" i="1"/>
  <c r="CI256" i="1"/>
  <c r="CG256" i="1"/>
  <c r="CE256" i="1"/>
  <c r="CC256" i="1"/>
  <c r="CA256" i="1"/>
  <c r="BY256" i="1"/>
  <c r="BW256" i="1"/>
  <c r="BU256" i="1"/>
  <c r="BS256" i="1"/>
  <c r="BO256" i="1"/>
  <c r="BM256" i="1"/>
  <c r="BK256" i="1"/>
  <c r="BI256" i="1"/>
  <c r="BG256" i="1"/>
  <c r="BE256" i="1"/>
  <c r="AO256" i="1"/>
  <c r="AM256" i="1"/>
  <c r="AI256" i="1"/>
  <c r="AG256" i="1"/>
  <c r="AE256" i="1"/>
  <c r="AA256" i="1"/>
  <c r="Y256" i="1"/>
  <c r="W256" i="1"/>
  <c r="U256" i="1"/>
  <c r="S256" i="1"/>
  <c r="Q256" i="1"/>
  <c r="CP255" i="1"/>
  <c r="CI255" i="1"/>
  <c r="CG255" i="1"/>
  <c r="CE255" i="1"/>
  <c r="CC255" i="1"/>
  <c r="CA255" i="1"/>
  <c r="BY255" i="1"/>
  <c r="BW255" i="1"/>
  <c r="BU255" i="1"/>
  <c r="BS255" i="1"/>
  <c r="BO255" i="1"/>
  <c r="BM255" i="1"/>
  <c r="BK255" i="1"/>
  <c r="BI255" i="1"/>
  <c r="BG255" i="1"/>
  <c r="BE255" i="1"/>
  <c r="AO255" i="1"/>
  <c r="AM255" i="1"/>
  <c r="AI255" i="1"/>
  <c r="AG255" i="1"/>
  <c r="AE255" i="1"/>
  <c r="AA255" i="1"/>
  <c r="Y255" i="1"/>
  <c r="W255" i="1"/>
  <c r="U255" i="1"/>
  <c r="S255" i="1"/>
  <c r="Q255" i="1"/>
  <c r="CP254" i="1"/>
  <c r="CI254" i="1"/>
  <c r="CG254" i="1"/>
  <c r="CE254" i="1"/>
  <c r="CC254" i="1"/>
  <c r="CA254" i="1"/>
  <c r="BY254" i="1"/>
  <c r="BW254" i="1"/>
  <c r="BU254" i="1"/>
  <c r="BS254" i="1"/>
  <c r="BO254" i="1"/>
  <c r="BM254" i="1"/>
  <c r="BK254" i="1"/>
  <c r="BI254" i="1"/>
  <c r="BG254" i="1"/>
  <c r="BE254" i="1"/>
  <c r="AO254" i="1"/>
  <c r="AM254" i="1"/>
  <c r="AI254" i="1"/>
  <c r="AG254" i="1"/>
  <c r="AE254" i="1"/>
  <c r="AA254" i="1"/>
  <c r="Y254" i="1"/>
  <c r="W254" i="1"/>
  <c r="U254" i="1"/>
  <c r="S254" i="1"/>
  <c r="Q254" i="1"/>
  <c r="CP253" i="1"/>
  <c r="CI253" i="1"/>
  <c r="CG253" i="1"/>
  <c r="CE253" i="1"/>
  <c r="CC253" i="1"/>
  <c r="CA253" i="1"/>
  <c r="BY253" i="1"/>
  <c r="BW253" i="1"/>
  <c r="BU253" i="1"/>
  <c r="BS253" i="1"/>
  <c r="BO253" i="1"/>
  <c r="BM253" i="1"/>
  <c r="BK253" i="1"/>
  <c r="BI253" i="1"/>
  <c r="BG253" i="1"/>
  <c r="BE253" i="1"/>
  <c r="AO253" i="1"/>
  <c r="AM253" i="1"/>
  <c r="AI253" i="1"/>
  <c r="AG253" i="1"/>
  <c r="AE253" i="1"/>
  <c r="AA253" i="1"/>
  <c r="Y253" i="1"/>
  <c r="W253" i="1"/>
  <c r="U253" i="1"/>
  <c r="S253" i="1"/>
  <c r="Q253" i="1"/>
  <c r="CP252" i="1"/>
  <c r="CI252" i="1"/>
  <c r="CG252" i="1"/>
  <c r="CE252" i="1"/>
  <c r="CC252" i="1"/>
  <c r="CA252" i="1"/>
  <c r="BY252" i="1"/>
  <c r="BW252" i="1"/>
  <c r="BU252" i="1"/>
  <c r="BS252" i="1"/>
  <c r="BO252" i="1"/>
  <c r="BM252" i="1"/>
  <c r="BK252" i="1"/>
  <c r="BI252" i="1"/>
  <c r="BG252" i="1"/>
  <c r="BE252" i="1"/>
  <c r="AO252" i="1"/>
  <c r="AM252" i="1"/>
  <c r="AI252" i="1"/>
  <c r="AG252" i="1"/>
  <c r="AE252" i="1"/>
  <c r="AA252" i="1"/>
  <c r="Y252" i="1"/>
  <c r="W252" i="1"/>
  <c r="U252" i="1"/>
  <c r="S252" i="1"/>
  <c r="Q252" i="1"/>
  <c r="CP251" i="1"/>
  <c r="CI251" i="1"/>
  <c r="CG251" i="1"/>
  <c r="CE251" i="1"/>
  <c r="CC251" i="1"/>
  <c r="CA251" i="1"/>
  <c r="BY251" i="1"/>
  <c r="BW251" i="1"/>
  <c r="BU251" i="1"/>
  <c r="BS251" i="1"/>
  <c r="BO251" i="1"/>
  <c r="BM251" i="1"/>
  <c r="BK251" i="1"/>
  <c r="BI251" i="1"/>
  <c r="BG251" i="1"/>
  <c r="BE251" i="1"/>
  <c r="AO251" i="1"/>
  <c r="AM251" i="1"/>
  <c r="AI251" i="1"/>
  <c r="AG251" i="1"/>
  <c r="AE251" i="1"/>
  <c r="AA251" i="1"/>
  <c r="Y251" i="1"/>
  <c r="W251" i="1"/>
  <c r="U251" i="1"/>
  <c r="S251" i="1"/>
  <c r="Q251" i="1"/>
  <c r="CP250" i="1"/>
  <c r="CI250" i="1"/>
  <c r="CG250" i="1"/>
  <c r="CE250" i="1"/>
  <c r="CC250" i="1"/>
  <c r="CA250" i="1"/>
  <c r="BY250" i="1"/>
  <c r="BW250" i="1"/>
  <c r="BU250" i="1"/>
  <c r="BS250" i="1"/>
  <c r="BO250" i="1"/>
  <c r="BM250" i="1"/>
  <c r="BK250" i="1"/>
  <c r="BI250" i="1"/>
  <c r="BG250" i="1"/>
  <c r="BE250" i="1"/>
  <c r="AO250" i="1"/>
  <c r="AM250" i="1"/>
  <c r="AI250" i="1"/>
  <c r="AG250" i="1"/>
  <c r="AE250" i="1"/>
  <c r="AA250" i="1"/>
  <c r="Y250" i="1"/>
  <c r="W250" i="1"/>
  <c r="U250" i="1"/>
  <c r="S250" i="1"/>
  <c r="Q250" i="1"/>
  <c r="CP249" i="1"/>
  <c r="CI249" i="1"/>
  <c r="CG249" i="1"/>
  <c r="CE249" i="1"/>
  <c r="CC249" i="1"/>
  <c r="CA249" i="1"/>
  <c r="BY249" i="1"/>
  <c r="BW249" i="1"/>
  <c r="BU249" i="1"/>
  <c r="BS249" i="1"/>
  <c r="BO249" i="1"/>
  <c r="BM249" i="1"/>
  <c r="BK249" i="1"/>
  <c r="BI249" i="1"/>
  <c r="BG249" i="1"/>
  <c r="BE249" i="1"/>
  <c r="AO249" i="1"/>
  <c r="AM249" i="1"/>
  <c r="AI249" i="1"/>
  <c r="AG249" i="1"/>
  <c r="AE249" i="1"/>
  <c r="AA249" i="1"/>
  <c r="Y249" i="1"/>
  <c r="W249" i="1"/>
  <c r="U249" i="1"/>
  <c r="S249" i="1"/>
  <c r="Q249" i="1"/>
  <c r="CP248" i="1"/>
  <c r="CK248" i="1"/>
  <c r="CI248" i="1"/>
  <c r="CG248" i="1"/>
  <c r="CE248" i="1"/>
  <c r="CC248" i="1"/>
  <c r="CA248" i="1"/>
  <c r="BY248" i="1"/>
  <c r="BW248" i="1"/>
  <c r="BU248" i="1"/>
  <c r="BS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O248" i="1"/>
  <c r="AM248" i="1"/>
  <c r="AI248" i="1"/>
  <c r="AG248" i="1"/>
  <c r="AE248" i="1"/>
  <c r="AC248" i="1"/>
  <c r="Y248" i="1"/>
  <c r="W248" i="1"/>
  <c r="U248" i="1"/>
  <c r="S248" i="1"/>
  <c r="Q248" i="1"/>
  <c r="CP247" i="1"/>
  <c r="CM247" i="1"/>
  <c r="CM242" i="1" s="1"/>
  <c r="CK247" i="1"/>
  <c r="CI247" i="1"/>
  <c r="CG247" i="1"/>
  <c r="CE247" i="1"/>
  <c r="CC247" i="1"/>
  <c r="CA247" i="1"/>
  <c r="BY247" i="1"/>
  <c r="BW247" i="1"/>
  <c r="BU247" i="1"/>
  <c r="BS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O247" i="1"/>
  <c r="AM247" i="1"/>
  <c r="AI247" i="1"/>
  <c r="AG247" i="1"/>
  <c r="AE247" i="1"/>
  <c r="AC247" i="1"/>
  <c r="Y247" i="1"/>
  <c r="W247" i="1"/>
  <c r="U247" i="1"/>
  <c r="S247" i="1"/>
  <c r="Q247" i="1"/>
  <c r="CP246" i="1"/>
  <c r="CK246" i="1"/>
  <c r="CI246" i="1"/>
  <c r="CG246" i="1"/>
  <c r="CE246" i="1"/>
  <c r="CC246" i="1"/>
  <c r="CA246" i="1"/>
  <c r="BY246" i="1"/>
  <c r="BW246" i="1"/>
  <c r="BU246" i="1"/>
  <c r="BS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O246" i="1"/>
  <c r="AM246" i="1"/>
  <c r="AI246" i="1"/>
  <c r="AG246" i="1"/>
  <c r="AE246" i="1"/>
  <c r="AC246" i="1"/>
  <c r="Y246" i="1"/>
  <c r="W246" i="1"/>
  <c r="U246" i="1"/>
  <c r="S246" i="1"/>
  <c r="Q246" i="1"/>
  <c r="CP245" i="1"/>
  <c r="CI245" i="1"/>
  <c r="CG245" i="1"/>
  <c r="CE245" i="1"/>
  <c r="CC245" i="1"/>
  <c r="CA245" i="1"/>
  <c r="BY245" i="1"/>
  <c r="BW245" i="1"/>
  <c r="BU245" i="1"/>
  <c r="BS245" i="1"/>
  <c r="BO245" i="1"/>
  <c r="BM245" i="1"/>
  <c r="BK245" i="1"/>
  <c r="BI245" i="1"/>
  <c r="BG245" i="1"/>
  <c r="BE245" i="1"/>
  <c r="AO245" i="1"/>
  <c r="AM245" i="1"/>
  <c r="AI245" i="1"/>
  <c r="AG245" i="1"/>
  <c r="AE245" i="1"/>
  <c r="AA245" i="1"/>
  <c r="Y245" i="1"/>
  <c r="W245" i="1"/>
  <c r="U245" i="1"/>
  <c r="S245" i="1"/>
  <c r="Q245" i="1"/>
  <c r="CP244" i="1"/>
  <c r="CK244" i="1"/>
  <c r="CI244" i="1"/>
  <c r="CG244" i="1"/>
  <c r="CE244" i="1"/>
  <c r="CC244" i="1"/>
  <c r="CA244" i="1"/>
  <c r="BY244" i="1"/>
  <c r="BW244" i="1"/>
  <c r="BU244" i="1"/>
  <c r="BS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O244" i="1"/>
  <c r="AM244" i="1"/>
  <c r="AI244" i="1"/>
  <c r="AG244" i="1"/>
  <c r="AE244" i="1"/>
  <c r="AC244" i="1"/>
  <c r="Y244" i="1"/>
  <c r="W244" i="1"/>
  <c r="U244" i="1"/>
  <c r="S244" i="1"/>
  <c r="Q244" i="1"/>
  <c r="CP243" i="1"/>
  <c r="CK243" i="1"/>
  <c r="CI243" i="1"/>
  <c r="CG243" i="1"/>
  <c r="CE243" i="1"/>
  <c r="CC243" i="1"/>
  <c r="CA243" i="1"/>
  <c r="BY243" i="1"/>
  <c r="BW243" i="1"/>
  <c r="BU243" i="1"/>
  <c r="BS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O243" i="1"/>
  <c r="AM243" i="1"/>
  <c r="AI243" i="1"/>
  <c r="AG243" i="1"/>
  <c r="AE243" i="1"/>
  <c r="AC243" i="1"/>
  <c r="Y243" i="1"/>
  <c r="W243" i="1"/>
  <c r="U243" i="1"/>
  <c r="S243" i="1"/>
  <c r="Q243" i="1"/>
  <c r="CO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Q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Q242" i="1"/>
  <c r="AP242" i="1"/>
  <c r="AN242" i="1"/>
  <c r="AL242" i="1"/>
  <c r="AH242" i="1"/>
  <c r="AF242" i="1"/>
  <c r="AD242" i="1"/>
  <c r="AB242" i="1"/>
  <c r="Z242" i="1"/>
  <c r="X242" i="1"/>
  <c r="V242" i="1"/>
  <c r="T242" i="1"/>
  <c r="R242" i="1"/>
  <c r="P242" i="1"/>
  <c r="CP241" i="1"/>
  <c r="CK241" i="1"/>
  <c r="CI241" i="1"/>
  <c r="CG241" i="1"/>
  <c r="CE241" i="1"/>
  <c r="CC241" i="1"/>
  <c r="CA241" i="1"/>
  <c r="BY241" i="1"/>
  <c r="BW241" i="1"/>
  <c r="BU241" i="1"/>
  <c r="BS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O241" i="1"/>
  <c r="AM241" i="1"/>
  <c r="AI241" i="1"/>
  <c r="AG241" i="1"/>
  <c r="AE241" i="1"/>
  <c r="AC241" i="1"/>
  <c r="Y241" i="1"/>
  <c r="W241" i="1"/>
  <c r="U241" i="1"/>
  <c r="S241" i="1"/>
  <c r="Q241" i="1"/>
  <c r="CP240" i="1"/>
  <c r="CK240" i="1"/>
  <c r="CI240" i="1"/>
  <c r="CG240" i="1"/>
  <c r="CE240" i="1"/>
  <c r="CC240" i="1"/>
  <c r="CA240" i="1"/>
  <c r="BY240" i="1"/>
  <c r="BW240" i="1"/>
  <c r="BU240" i="1"/>
  <c r="BS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O240" i="1"/>
  <c r="AM240" i="1"/>
  <c r="AI240" i="1"/>
  <c r="AG240" i="1"/>
  <c r="AE240" i="1"/>
  <c r="AC240" i="1"/>
  <c r="Y240" i="1"/>
  <c r="W240" i="1"/>
  <c r="U240" i="1"/>
  <c r="S240" i="1"/>
  <c r="Q240" i="1"/>
  <c r="CP239" i="1"/>
  <c r="CK239" i="1"/>
  <c r="CI239" i="1"/>
  <c r="CG239" i="1"/>
  <c r="CE239" i="1"/>
  <c r="CC239" i="1"/>
  <c r="CA239" i="1"/>
  <c r="BY239" i="1"/>
  <c r="BW239" i="1"/>
  <c r="BU239" i="1"/>
  <c r="BS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O239" i="1"/>
  <c r="AM239" i="1"/>
  <c r="AI239" i="1"/>
  <c r="AG239" i="1"/>
  <c r="AE239" i="1"/>
  <c r="AC239" i="1"/>
  <c r="Y239" i="1"/>
  <c r="W239" i="1"/>
  <c r="U239" i="1"/>
  <c r="S239" i="1"/>
  <c r="Q239" i="1"/>
  <c r="CP238" i="1"/>
  <c r="CI238" i="1"/>
  <c r="CG238" i="1"/>
  <c r="CE238" i="1"/>
  <c r="CA238" i="1"/>
  <c r="BY238" i="1"/>
  <c r="BW238" i="1"/>
  <c r="BS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O238" i="1"/>
  <c r="AM238" i="1"/>
  <c r="AI238" i="1"/>
  <c r="AG238" i="1"/>
  <c r="AE238" i="1"/>
  <c r="AC238" i="1"/>
  <c r="Y238" i="1"/>
  <c r="W238" i="1"/>
  <c r="U238" i="1"/>
  <c r="S238" i="1"/>
  <c r="Q238" i="1"/>
  <c r="CO237" i="1"/>
  <c r="CN237" i="1"/>
  <c r="CM237" i="1"/>
  <c r="CL237" i="1"/>
  <c r="CJ237" i="1"/>
  <c r="CH237" i="1"/>
  <c r="CF237" i="1"/>
  <c r="CD237" i="1"/>
  <c r="CB237" i="1"/>
  <c r="BZ237" i="1"/>
  <c r="BX237" i="1"/>
  <c r="BV237" i="1"/>
  <c r="BT237" i="1"/>
  <c r="BR237" i="1"/>
  <c r="BQ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Q237" i="1"/>
  <c r="AP237" i="1"/>
  <c r="AN237" i="1"/>
  <c r="AL237" i="1"/>
  <c r="AH237" i="1"/>
  <c r="AF237" i="1"/>
  <c r="AD237" i="1"/>
  <c r="AB237" i="1"/>
  <c r="AA237" i="1"/>
  <c r="Z237" i="1"/>
  <c r="X237" i="1"/>
  <c r="V237" i="1"/>
  <c r="T237" i="1"/>
  <c r="R237" i="1"/>
  <c r="P237" i="1"/>
  <c r="CP236" i="1"/>
  <c r="CK236" i="1"/>
  <c r="CI236" i="1"/>
  <c r="CG236" i="1"/>
  <c r="CE236" i="1"/>
  <c r="CC236" i="1"/>
  <c r="CA236" i="1"/>
  <c r="BY236" i="1"/>
  <c r="BW236" i="1"/>
  <c r="BU236" i="1"/>
  <c r="BS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O236" i="1"/>
  <c r="AM236" i="1"/>
  <c r="AI236" i="1"/>
  <c r="AG236" i="1"/>
  <c r="AE236" i="1"/>
  <c r="AC236" i="1"/>
  <c r="Y236" i="1"/>
  <c r="W236" i="1"/>
  <c r="U236" i="1"/>
  <c r="S236" i="1"/>
  <c r="Q236" i="1"/>
  <c r="CP235" i="1"/>
  <c r="CK235" i="1"/>
  <c r="CI235" i="1"/>
  <c r="CG235" i="1"/>
  <c r="CE235" i="1"/>
  <c r="CC235" i="1"/>
  <c r="CA235" i="1"/>
  <c r="BY235" i="1"/>
  <c r="BW235" i="1"/>
  <c r="BU235" i="1"/>
  <c r="BS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O235" i="1"/>
  <c r="AM235" i="1"/>
  <c r="AI235" i="1"/>
  <c r="AG235" i="1"/>
  <c r="AE235" i="1"/>
  <c r="AC235" i="1"/>
  <c r="Y235" i="1"/>
  <c r="W235" i="1"/>
  <c r="U235" i="1"/>
  <c r="S235" i="1"/>
  <c r="Q235" i="1"/>
  <c r="CP234" i="1"/>
  <c r="CK234" i="1"/>
  <c r="CI234" i="1"/>
  <c r="CG234" i="1"/>
  <c r="CE234" i="1"/>
  <c r="CC234" i="1"/>
  <c r="CA234" i="1"/>
  <c r="BY234" i="1"/>
  <c r="BW234" i="1"/>
  <c r="BU234" i="1"/>
  <c r="BS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O234" i="1"/>
  <c r="AM234" i="1"/>
  <c r="AI234" i="1"/>
  <c r="AG234" i="1"/>
  <c r="AE234" i="1"/>
  <c r="AC234" i="1"/>
  <c r="Y234" i="1"/>
  <c r="W234" i="1"/>
  <c r="U234" i="1"/>
  <c r="S234" i="1"/>
  <c r="Q234" i="1"/>
  <c r="CO233" i="1"/>
  <c r="CN233" i="1"/>
  <c r="CM233" i="1"/>
  <c r="CL233" i="1"/>
  <c r="CJ233" i="1"/>
  <c r="CH233" i="1"/>
  <c r="CF233" i="1"/>
  <c r="CD233" i="1"/>
  <c r="CB233" i="1"/>
  <c r="BZ233" i="1"/>
  <c r="BX233" i="1"/>
  <c r="BV233" i="1"/>
  <c r="BT233" i="1"/>
  <c r="BR233" i="1"/>
  <c r="BQ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Q233" i="1"/>
  <c r="AP233" i="1"/>
  <c r="AN233" i="1"/>
  <c r="AL233" i="1"/>
  <c r="AH233" i="1"/>
  <c r="AF233" i="1"/>
  <c r="AD233" i="1"/>
  <c r="AB233" i="1"/>
  <c r="AA233" i="1"/>
  <c r="Z233" i="1"/>
  <c r="X233" i="1"/>
  <c r="V233" i="1"/>
  <c r="T233" i="1"/>
  <c r="R233" i="1"/>
  <c r="P233" i="1"/>
  <c r="CP232" i="1"/>
  <c r="CP231" i="1" s="1"/>
  <c r="CK232" i="1"/>
  <c r="CK231" i="1" s="1"/>
  <c r="CI232" i="1"/>
  <c r="CI231" i="1" s="1"/>
  <c r="CG232" i="1"/>
  <c r="CG231" i="1" s="1"/>
  <c r="CE232" i="1"/>
  <c r="CE231" i="1" s="1"/>
  <c r="CC232" i="1"/>
  <c r="CC231" i="1" s="1"/>
  <c r="CA232" i="1"/>
  <c r="CA231" i="1" s="1"/>
  <c r="BY232" i="1"/>
  <c r="BY231" i="1" s="1"/>
  <c r="BW232" i="1"/>
  <c r="BW231" i="1" s="1"/>
  <c r="BU232" i="1"/>
  <c r="BU231" i="1" s="1"/>
  <c r="BS232" i="1"/>
  <c r="BS231" i="1" s="1"/>
  <c r="BO232" i="1"/>
  <c r="BO231" i="1" s="1"/>
  <c r="BM232" i="1"/>
  <c r="BK232" i="1"/>
  <c r="BK231" i="1" s="1"/>
  <c r="BI232" i="1"/>
  <c r="BI231" i="1" s="1"/>
  <c r="BG232" i="1"/>
  <c r="BG231" i="1" s="1"/>
  <c r="BE232" i="1"/>
  <c r="BC232" i="1"/>
  <c r="BC231" i="1" s="1"/>
  <c r="BA232" i="1"/>
  <c r="BA231" i="1" s="1"/>
  <c r="AY232" i="1"/>
  <c r="AY231" i="1" s="1"/>
  <c r="AW232" i="1"/>
  <c r="AW231" i="1" s="1"/>
  <c r="AU232" i="1"/>
  <c r="AU231" i="1" s="1"/>
  <c r="AS232" i="1"/>
  <c r="AS231" i="1" s="1"/>
  <c r="AO232" i="1"/>
  <c r="AO231" i="1" s="1"/>
  <c r="AM232" i="1"/>
  <c r="AM231" i="1" s="1"/>
  <c r="AI232" i="1"/>
  <c r="AI231" i="1" s="1"/>
  <c r="AG232" i="1"/>
  <c r="AG231" i="1" s="1"/>
  <c r="AE232" i="1"/>
  <c r="AE231" i="1" s="1"/>
  <c r="AC232" i="1"/>
  <c r="AC231" i="1" s="1"/>
  <c r="Y232" i="1"/>
  <c r="Y231" i="1" s="1"/>
  <c r="W232" i="1"/>
  <c r="U232" i="1"/>
  <c r="U231" i="1" s="1"/>
  <c r="S232" i="1"/>
  <c r="S231" i="1" s="1"/>
  <c r="Q232" i="1"/>
  <c r="Q231" i="1" s="1"/>
  <c r="CO231" i="1"/>
  <c r="CN231" i="1"/>
  <c r="CM231" i="1"/>
  <c r="CL231" i="1"/>
  <c r="CJ231" i="1"/>
  <c r="CH231" i="1"/>
  <c r="CF231" i="1"/>
  <c r="CD231" i="1"/>
  <c r="CB231" i="1"/>
  <c r="BZ231" i="1"/>
  <c r="BX231" i="1"/>
  <c r="BV231" i="1"/>
  <c r="BT231" i="1"/>
  <c r="BR231" i="1"/>
  <c r="BQ231" i="1"/>
  <c r="BP231" i="1"/>
  <c r="BN231" i="1"/>
  <c r="BM231" i="1"/>
  <c r="BL231" i="1"/>
  <c r="BJ231" i="1"/>
  <c r="BH231" i="1"/>
  <c r="BF231" i="1"/>
  <c r="BE231" i="1"/>
  <c r="BD231" i="1"/>
  <c r="BB231" i="1"/>
  <c r="AZ231" i="1"/>
  <c r="AX231" i="1"/>
  <c r="AV231" i="1"/>
  <c r="AT231" i="1"/>
  <c r="AR231" i="1"/>
  <c r="AQ231" i="1"/>
  <c r="AP231" i="1"/>
  <c r="AN231" i="1"/>
  <c r="AL231" i="1"/>
  <c r="AH231" i="1"/>
  <c r="AF231" i="1"/>
  <c r="AD231" i="1"/>
  <c r="AB231" i="1"/>
  <c r="AA231" i="1"/>
  <c r="Z231" i="1"/>
  <c r="X231" i="1"/>
  <c r="W231" i="1"/>
  <c r="V231" i="1"/>
  <c r="T231" i="1"/>
  <c r="R231" i="1"/>
  <c r="P231" i="1"/>
  <c r="CP230" i="1"/>
  <c r="CK230" i="1"/>
  <c r="CI230" i="1"/>
  <c r="CG230" i="1"/>
  <c r="CE230" i="1"/>
  <c r="CC230" i="1"/>
  <c r="CA230" i="1"/>
  <c r="BY230" i="1"/>
  <c r="BW230" i="1"/>
  <c r="BU230" i="1"/>
  <c r="BS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O230" i="1"/>
  <c r="AM230" i="1"/>
  <c r="AI230" i="1"/>
  <c r="AG230" i="1"/>
  <c r="AE230" i="1"/>
  <c r="AC230" i="1"/>
  <c r="Y230" i="1"/>
  <c r="W230" i="1"/>
  <c r="U230" i="1"/>
  <c r="S230" i="1"/>
  <c r="Q230" i="1"/>
  <c r="CP229" i="1"/>
  <c r="CK229" i="1"/>
  <c r="CI229" i="1"/>
  <c r="CG229" i="1"/>
  <c r="CE229" i="1"/>
  <c r="CC229" i="1"/>
  <c r="CA229" i="1"/>
  <c r="BY229" i="1"/>
  <c r="BW229" i="1"/>
  <c r="BU229" i="1"/>
  <c r="BS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O229" i="1"/>
  <c r="AM229" i="1"/>
  <c r="AI229" i="1"/>
  <c r="AG229" i="1"/>
  <c r="AE229" i="1"/>
  <c r="AC229" i="1"/>
  <c r="Y229" i="1"/>
  <c r="W229" i="1"/>
  <c r="U229" i="1"/>
  <c r="S229" i="1"/>
  <c r="Q229" i="1"/>
  <c r="CP228" i="1"/>
  <c r="CK228" i="1"/>
  <c r="CI228" i="1"/>
  <c r="CG228" i="1"/>
  <c r="CE228" i="1"/>
  <c r="CC228" i="1"/>
  <c r="CA228" i="1"/>
  <c r="BY228" i="1"/>
  <c r="BW228" i="1"/>
  <c r="BU228" i="1"/>
  <c r="BS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O228" i="1"/>
  <c r="AM228" i="1"/>
  <c r="AI228" i="1"/>
  <c r="AG228" i="1"/>
  <c r="AE228" i="1"/>
  <c r="AC228" i="1"/>
  <c r="Y228" i="1"/>
  <c r="W228" i="1"/>
  <c r="U228" i="1"/>
  <c r="S228" i="1"/>
  <c r="Q228" i="1"/>
  <c r="CP227" i="1"/>
  <c r="CK227" i="1"/>
  <c r="CI227" i="1"/>
  <c r="CG227" i="1"/>
  <c r="CE227" i="1"/>
  <c r="CC227" i="1"/>
  <c r="CA227" i="1"/>
  <c r="BY227" i="1"/>
  <c r="BW227" i="1"/>
  <c r="BU227" i="1"/>
  <c r="BS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O227" i="1"/>
  <c r="AM227" i="1"/>
  <c r="AI227" i="1"/>
  <c r="AG227" i="1"/>
  <c r="AE227" i="1"/>
  <c r="AC227" i="1"/>
  <c r="Y227" i="1"/>
  <c r="W227" i="1"/>
  <c r="U227" i="1"/>
  <c r="S227" i="1"/>
  <c r="Q227" i="1"/>
  <c r="CP226" i="1"/>
  <c r="CK226" i="1"/>
  <c r="CI226" i="1"/>
  <c r="CG226" i="1"/>
  <c r="CE226" i="1"/>
  <c r="CC226" i="1"/>
  <c r="CA226" i="1"/>
  <c r="BY226" i="1"/>
  <c r="BW226" i="1"/>
  <c r="BU226" i="1"/>
  <c r="BS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O226" i="1"/>
  <c r="AM226" i="1"/>
  <c r="AI226" i="1"/>
  <c r="AG226" i="1"/>
  <c r="AE226" i="1"/>
  <c r="AC226" i="1"/>
  <c r="Y226" i="1"/>
  <c r="W226" i="1"/>
  <c r="U226" i="1"/>
  <c r="S226" i="1"/>
  <c r="Q226" i="1"/>
  <c r="CP225" i="1"/>
  <c r="CK225" i="1"/>
  <c r="CI225" i="1"/>
  <c r="CG225" i="1"/>
  <c r="CE225" i="1"/>
  <c r="CC225" i="1"/>
  <c r="CA225" i="1"/>
  <c r="BY225" i="1"/>
  <c r="BW225" i="1"/>
  <c r="BU225" i="1"/>
  <c r="BS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O225" i="1"/>
  <c r="AM225" i="1"/>
  <c r="AI225" i="1"/>
  <c r="AG225" i="1"/>
  <c r="AE225" i="1"/>
  <c r="AC225" i="1"/>
  <c r="Y225" i="1"/>
  <c r="W225" i="1"/>
  <c r="U225" i="1"/>
  <c r="S225" i="1"/>
  <c r="Q225" i="1"/>
  <c r="CP224" i="1"/>
  <c r="CK224" i="1"/>
  <c r="CI224" i="1"/>
  <c r="CG224" i="1"/>
  <c r="CE224" i="1"/>
  <c r="CC224" i="1"/>
  <c r="CA224" i="1"/>
  <c r="BY224" i="1"/>
  <c r="BW224" i="1"/>
  <c r="BU224" i="1"/>
  <c r="BS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O224" i="1"/>
  <c r="AM224" i="1"/>
  <c r="AI224" i="1"/>
  <c r="AG224" i="1"/>
  <c r="AE224" i="1"/>
  <c r="AC224" i="1"/>
  <c r="Y224" i="1"/>
  <c r="W224" i="1"/>
  <c r="U224" i="1"/>
  <c r="S224" i="1"/>
  <c r="Q224" i="1"/>
  <c r="CP223" i="1"/>
  <c r="CP222" i="1" s="1"/>
  <c r="CK223" i="1"/>
  <c r="CI223" i="1"/>
  <c r="CG223" i="1"/>
  <c r="CE223" i="1"/>
  <c r="CC223" i="1"/>
  <c r="CA223" i="1"/>
  <c r="BY223" i="1"/>
  <c r="BW223" i="1"/>
  <c r="BU223" i="1"/>
  <c r="BS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O223" i="1"/>
  <c r="AM223" i="1"/>
  <c r="AI223" i="1"/>
  <c r="AG223" i="1"/>
  <c r="AE223" i="1"/>
  <c r="AC223" i="1"/>
  <c r="Y223" i="1"/>
  <c r="W223" i="1"/>
  <c r="U223" i="1"/>
  <c r="S223" i="1"/>
  <c r="Q223" i="1"/>
  <c r="CO222" i="1"/>
  <c r="CN222" i="1"/>
  <c r="CM222" i="1"/>
  <c r="CL222" i="1"/>
  <c r="CJ222" i="1"/>
  <c r="CH222" i="1"/>
  <c r="CF222" i="1"/>
  <c r="CD222" i="1"/>
  <c r="CB222" i="1"/>
  <c r="BZ222" i="1"/>
  <c r="BX222" i="1"/>
  <c r="BV222" i="1"/>
  <c r="BT222" i="1"/>
  <c r="BR222" i="1"/>
  <c r="BQ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Q222" i="1"/>
  <c r="AP222" i="1"/>
  <c r="AN222" i="1"/>
  <c r="AL222" i="1"/>
  <c r="AH222" i="1"/>
  <c r="AF222" i="1"/>
  <c r="AD222" i="1"/>
  <c r="AB222" i="1"/>
  <c r="AA222" i="1"/>
  <c r="Z222" i="1"/>
  <c r="X222" i="1"/>
  <c r="V222" i="1"/>
  <c r="T222" i="1"/>
  <c r="R222" i="1"/>
  <c r="P222" i="1"/>
  <c r="CP221" i="1"/>
  <c r="CK221" i="1"/>
  <c r="CI221" i="1"/>
  <c r="CG221" i="1"/>
  <c r="CE221" i="1"/>
  <c r="CC221" i="1"/>
  <c r="CA221" i="1"/>
  <c r="BY221" i="1"/>
  <c r="BW221" i="1"/>
  <c r="BU221" i="1"/>
  <c r="BS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O221" i="1"/>
  <c r="AM221" i="1"/>
  <c r="AI221" i="1"/>
  <c r="AG221" i="1"/>
  <c r="AE221" i="1"/>
  <c r="AC221" i="1"/>
  <c r="Y221" i="1"/>
  <c r="W221" i="1"/>
  <c r="U221" i="1"/>
  <c r="S221" i="1"/>
  <c r="Q221" i="1"/>
  <c r="CP220" i="1"/>
  <c r="CK220" i="1"/>
  <c r="CI220" i="1"/>
  <c r="CG220" i="1"/>
  <c r="CE220" i="1"/>
  <c r="CC220" i="1"/>
  <c r="CA220" i="1"/>
  <c r="BY220" i="1"/>
  <c r="BW220" i="1"/>
  <c r="BU220" i="1"/>
  <c r="BS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O220" i="1"/>
  <c r="AM220" i="1"/>
  <c r="AI220" i="1"/>
  <c r="AG220" i="1"/>
  <c r="AE220" i="1"/>
  <c r="AC220" i="1"/>
  <c r="Y220" i="1"/>
  <c r="W220" i="1"/>
  <c r="U220" i="1"/>
  <c r="S220" i="1"/>
  <c r="Q220" i="1"/>
  <c r="CP219" i="1"/>
  <c r="CI219" i="1"/>
  <c r="CG219" i="1"/>
  <c r="CE219" i="1"/>
  <c r="CC219" i="1"/>
  <c r="CA219" i="1"/>
  <c r="BY219" i="1"/>
  <c r="BW219" i="1"/>
  <c r="BS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O219" i="1"/>
  <c r="AM219" i="1"/>
  <c r="AI219" i="1"/>
  <c r="AG219" i="1"/>
  <c r="AE219" i="1"/>
  <c r="AC219" i="1"/>
  <c r="Y219" i="1"/>
  <c r="W219" i="1"/>
  <c r="U219" i="1"/>
  <c r="S219" i="1"/>
  <c r="Q219" i="1"/>
  <c r="CP218" i="1"/>
  <c r="CI218" i="1"/>
  <c r="CG218" i="1"/>
  <c r="CE218" i="1"/>
  <c r="CC218" i="1"/>
  <c r="CA218" i="1"/>
  <c r="BY218" i="1"/>
  <c r="BW218" i="1"/>
  <c r="BS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O218" i="1"/>
  <c r="AM218" i="1"/>
  <c r="AI218" i="1"/>
  <c r="AG218" i="1"/>
  <c r="AE218" i="1"/>
  <c r="AC218" i="1"/>
  <c r="Y218" i="1"/>
  <c r="W218" i="1"/>
  <c r="U218" i="1"/>
  <c r="S218" i="1"/>
  <c r="Q218" i="1"/>
  <c r="CP217" i="1"/>
  <c r="CI217" i="1"/>
  <c r="CG217" i="1"/>
  <c r="CE217" i="1"/>
  <c r="CC217" i="1"/>
  <c r="CA217" i="1"/>
  <c r="BY217" i="1"/>
  <c r="BW217" i="1"/>
  <c r="BS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O217" i="1"/>
  <c r="AM217" i="1"/>
  <c r="AI217" i="1"/>
  <c r="AG217" i="1"/>
  <c r="AE217" i="1"/>
  <c r="AC217" i="1"/>
  <c r="Y217" i="1"/>
  <c r="W217" i="1"/>
  <c r="U217" i="1"/>
  <c r="S217" i="1"/>
  <c r="Q217" i="1"/>
  <c r="CP216" i="1"/>
  <c r="CK216" i="1"/>
  <c r="CI216" i="1"/>
  <c r="CG216" i="1"/>
  <c r="CE216" i="1"/>
  <c r="CC216" i="1"/>
  <c r="CA216" i="1"/>
  <c r="BY216" i="1"/>
  <c r="BW216" i="1"/>
  <c r="BU216" i="1"/>
  <c r="BS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O216" i="1"/>
  <c r="AM216" i="1"/>
  <c r="AI216" i="1"/>
  <c r="AG216" i="1"/>
  <c r="AE216" i="1"/>
  <c r="AC216" i="1"/>
  <c r="Y216" i="1"/>
  <c r="W216" i="1"/>
  <c r="U216" i="1"/>
  <c r="S216" i="1"/>
  <c r="Q216" i="1"/>
  <c r="CO215" i="1"/>
  <c r="CN215" i="1"/>
  <c r="CM215" i="1"/>
  <c r="CL215" i="1"/>
  <c r="CJ215" i="1"/>
  <c r="CH215" i="1"/>
  <c r="CF215" i="1"/>
  <c r="CD215" i="1"/>
  <c r="CB215" i="1"/>
  <c r="BZ215" i="1"/>
  <c r="BX215" i="1"/>
  <c r="BV215" i="1"/>
  <c r="BT215" i="1"/>
  <c r="BR215" i="1"/>
  <c r="BQ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Q215" i="1"/>
  <c r="AP215" i="1"/>
  <c r="AN215" i="1"/>
  <c r="AL215" i="1"/>
  <c r="AH215" i="1"/>
  <c r="AF215" i="1"/>
  <c r="AD215" i="1"/>
  <c r="AB215" i="1"/>
  <c r="AA215" i="1"/>
  <c r="Z215" i="1"/>
  <c r="X215" i="1"/>
  <c r="V215" i="1"/>
  <c r="T215" i="1"/>
  <c r="R215" i="1"/>
  <c r="P215" i="1"/>
  <c r="CP214" i="1"/>
  <c r="CK214" i="1"/>
  <c r="CI214" i="1"/>
  <c r="CG214" i="1"/>
  <c r="CE214" i="1"/>
  <c r="CC214" i="1"/>
  <c r="CA214" i="1"/>
  <c r="BY214" i="1"/>
  <c r="BW214" i="1"/>
  <c r="BU214" i="1"/>
  <c r="BS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O214" i="1"/>
  <c r="AM214" i="1"/>
  <c r="AI214" i="1"/>
  <c r="AG214" i="1"/>
  <c r="AE214" i="1"/>
  <c r="AC214" i="1"/>
  <c r="Y214" i="1"/>
  <c r="W214" i="1"/>
  <c r="U214" i="1"/>
  <c r="S214" i="1"/>
  <c r="Q214" i="1"/>
  <c r="CP213" i="1"/>
  <c r="CK213" i="1"/>
  <c r="CI213" i="1"/>
  <c r="CG213" i="1"/>
  <c r="CE213" i="1"/>
  <c r="CC213" i="1"/>
  <c r="CA213" i="1"/>
  <c r="BY213" i="1"/>
  <c r="BW213" i="1"/>
  <c r="BU213" i="1"/>
  <c r="BS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O213" i="1"/>
  <c r="AM213" i="1"/>
  <c r="AI213" i="1"/>
  <c r="AG213" i="1"/>
  <c r="AE213" i="1"/>
  <c r="AC213" i="1"/>
  <c r="Y213" i="1"/>
  <c r="W213" i="1"/>
  <c r="U213" i="1"/>
  <c r="S213" i="1"/>
  <c r="Q213" i="1"/>
  <c r="CP212" i="1"/>
  <c r="CO212" i="1"/>
  <c r="CK212" i="1"/>
  <c r="CI212" i="1"/>
  <c r="CG212" i="1"/>
  <c r="CE212" i="1"/>
  <c r="CC212" i="1"/>
  <c r="CA212" i="1"/>
  <c r="BY212" i="1"/>
  <c r="BW212" i="1"/>
  <c r="BU212" i="1"/>
  <c r="BS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O212" i="1"/>
  <c r="AM212" i="1"/>
  <c r="AI212" i="1"/>
  <c r="AG212" i="1"/>
  <c r="AE212" i="1"/>
  <c r="AC212" i="1"/>
  <c r="Y212" i="1"/>
  <c r="W212" i="1"/>
  <c r="U212" i="1"/>
  <c r="S212" i="1"/>
  <c r="Q212" i="1"/>
  <c r="CP211" i="1"/>
  <c r="CO211" i="1"/>
  <c r="CK211" i="1"/>
  <c r="CI211" i="1"/>
  <c r="CG211" i="1"/>
  <c r="CE211" i="1"/>
  <c r="CC211" i="1"/>
  <c r="CA211" i="1"/>
  <c r="BY211" i="1"/>
  <c r="BW211" i="1"/>
  <c r="BU211" i="1"/>
  <c r="BS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O211" i="1"/>
  <c r="AM211" i="1"/>
  <c r="AI211" i="1"/>
  <c r="AG211" i="1"/>
  <c r="AE211" i="1"/>
  <c r="AC211" i="1"/>
  <c r="Y211" i="1"/>
  <c r="W211" i="1"/>
  <c r="U211" i="1"/>
  <c r="S211" i="1"/>
  <c r="Q211" i="1"/>
  <c r="CP210" i="1"/>
  <c r="CO210" i="1"/>
  <c r="CK210" i="1"/>
  <c r="CI210" i="1"/>
  <c r="CG210" i="1"/>
  <c r="CE210" i="1"/>
  <c r="CC210" i="1"/>
  <c r="CA210" i="1"/>
  <c r="BY210" i="1"/>
  <c r="BW210" i="1"/>
  <c r="BU210" i="1"/>
  <c r="BS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O210" i="1"/>
  <c r="AM210" i="1"/>
  <c r="AI210" i="1"/>
  <c r="AG210" i="1"/>
  <c r="AE210" i="1"/>
  <c r="AC210" i="1"/>
  <c r="Y210" i="1"/>
  <c r="W210" i="1"/>
  <c r="U210" i="1"/>
  <c r="S210" i="1"/>
  <c r="Q210" i="1"/>
  <c r="CP209" i="1"/>
  <c r="CI209" i="1"/>
  <c r="CG209" i="1"/>
  <c r="CE209" i="1"/>
  <c r="CC209" i="1"/>
  <c r="CA209" i="1"/>
  <c r="BY209" i="1"/>
  <c r="BW209" i="1"/>
  <c r="BU209" i="1"/>
  <c r="BS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O209" i="1"/>
  <c r="AM209" i="1"/>
  <c r="AI209" i="1"/>
  <c r="AG209" i="1"/>
  <c r="AE209" i="1"/>
  <c r="AC209" i="1"/>
  <c r="Y209" i="1"/>
  <c r="W209" i="1"/>
  <c r="U209" i="1"/>
  <c r="S209" i="1"/>
  <c r="Q209" i="1"/>
  <c r="CN208" i="1"/>
  <c r="CM208" i="1"/>
  <c r="CL208" i="1"/>
  <c r="CJ208" i="1"/>
  <c r="CH208" i="1"/>
  <c r="CF208" i="1"/>
  <c r="CD208" i="1"/>
  <c r="CB208" i="1"/>
  <c r="BZ208" i="1"/>
  <c r="BX208" i="1"/>
  <c r="BV208" i="1"/>
  <c r="BT208" i="1"/>
  <c r="BR208" i="1"/>
  <c r="BQ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Q208" i="1"/>
  <c r="AP208" i="1"/>
  <c r="AN208" i="1"/>
  <c r="AL208" i="1"/>
  <c r="AH208" i="1"/>
  <c r="AF208" i="1"/>
  <c r="AD208" i="1"/>
  <c r="AB208" i="1"/>
  <c r="AA208" i="1"/>
  <c r="Z208" i="1"/>
  <c r="X208" i="1"/>
  <c r="V208" i="1"/>
  <c r="T208" i="1"/>
  <c r="R208" i="1"/>
  <c r="P208" i="1"/>
  <c r="CP207" i="1"/>
  <c r="CI207" i="1"/>
  <c r="CG207" i="1"/>
  <c r="CE207" i="1"/>
  <c r="CA207" i="1"/>
  <c r="BY207" i="1"/>
  <c r="BW207" i="1"/>
  <c r="BS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O207" i="1"/>
  <c r="AM207" i="1"/>
  <c r="AI207" i="1"/>
  <c r="AG207" i="1"/>
  <c r="AE207" i="1"/>
  <c r="AC207" i="1"/>
  <c r="Y207" i="1"/>
  <c r="W207" i="1"/>
  <c r="U207" i="1"/>
  <c r="S207" i="1"/>
  <c r="Q207" i="1"/>
  <c r="CP206" i="1"/>
  <c r="CI206" i="1"/>
  <c r="CG206" i="1"/>
  <c r="CE206" i="1"/>
  <c r="CC206" i="1"/>
  <c r="CA206" i="1"/>
  <c r="BY206" i="1"/>
  <c r="BW206" i="1"/>
  <c r="BU206" i="1"/>
  <c r="BS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O206" i="1"/>
  <c r="AM206" i="1"/>
  <c r="AI206" i="1"/>
  <c r="AG206" i="1"/>
  <c r="AE206" i="1"/>
  <c r="AC206" i="1"/>
  <c r="Y206" i="1"/>
  <c r="W206" i="1"/>
  <c r="U206" i="1"/>
  <c r="S206" i="1"/>
  <c r="Q206" i="1"/>
  <c r="CP205" i="1"/>
  <c r="CI205" i="1"/>
  <c r="CG205" i="1"/>
  <c r="CE205" i="1"/>
  <c r="CC205" i="1"/>
  <c r="CA205" i="1"/>
  <c r="BY205" i="1"/>
  <c r="BW205" i="1"/>
  <c r="BU205" i="1"/>
  <c r="BS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O205" i="1"/>
  <c r="AM205" i="1"/>
  <c r="AI205" i="1"/>
  <c r="AG205" i="1"/>
  <c r="AE205" i="1"/>
  <c r="AC205" i="1"/>
  <c r="Y205" i="1"/>
  <c r="W205" i="1"/>
  <c r="U205" i="1"/>
  <c r="S205" i="1"/>
  <c r="Q205" i="1"/>
  <c r="CI204" i="1"/>
  <c r="CI203" i="1" s="1"/>
  <c r="CG204" i="1"/>
  <c r="CE204" i="1"/>
  <c r="CC204" i="1"/>
  <c r="CA204" i="1"/>
  <c r="BY204" i="1"/>
  <c r="BW204" i="1"/>
  <c r="BU204" i="1"/>
  <c r="BS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O204" i="1"/>
  <c r="AM204" i="1"/>
  <c r="AI204" i="1"/>
  <c r="AG204" i="1"/>
  <c r="AE204" i="1"/>
  <c r="AC204" i="1"/>
  <c r="Y204" i="1"/>
  <c r="W204" i="1"/>
  <c r="U204" i="1"/>
  <c r="R204" i="1"/>
  <c r="Q204" i="1"/>
  <c r="CO203" i="1"/>
  <c r="CN203" i="1"/>
  <c r="CM203" i="1"/>
  <c r="CL203" i="1"/>
  <c r="CK203" i="1"/>
  <c r="CJ203" i="1"/>
  <c r="CH203" i="1"/>
  <c r="CF203" i="1"/>
  <c r="CD203" i="1"/>
  <c r="CB203" i="1"/>
  <c r="BZ203" i="1"/>
  <c r="BX203" i="1"/>
  <c r="BV203" i="1"/>
  <c r="BT203" i="1"/>
  <c r="BR203" i="1"/>
  <c r="BQ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Q203" i="1"/>
  <c r="AP203" i="1"/>
  <c r="AN203" i="1"/>
  <c r="AL203" i="1"/>
  <c r="AH203" i="1"/>
  <c r="AF203" i="1"/>
  <c r="AD203" i="1"/>
  <c r="AB203" i="1"/>
  <c r="AA203" i="1"/>
  <c r="Z203" i="1"/>
  <c r="X203" i="1"/>
  <c r="V203" i="1"/>
  <c r="T203" i="1"/>
  <c r="P203" i="1"/>
  <c r="CP202" i="1"/>
  <c r="CI202" i="1"/>
  <c r="CI201" i="1" s="1"/>
  <c r="CG202" i="1"/>
  <c r="CG201" i="1" s="1"/>
  <c r="CE202" i="1"/>
  <c r="CE201" i="1" s="1"/>
  <c r="CC202" i="1"/>
  <c r="CC201" i="1" s="1"/>
  <c r="CA202" i="1"/>
  <c r="CA201" i="1" s="1"/>
  <c r="BY202" i="1"/>
  <c r="BY201" i="1" s="1"/>
  <c r="BW202" i="1"/>
  <c r="BW201" i="1" s="1"/>
  <c r="BU202" i="1"/>
  <c r="BS202" i="1"/>
  <c r="BS201" i="1" s="1"/>
  <c r="BO202" i="1"/>
  <c r="BO201" i="1" s="1"/>
  <c r="BM202" i="1"/>
  <c r="BM201" i="1" s="1"/>
  <c r="BK202" i="1"/>
  <c r="BK201" i="1" s="1"/>
  <c r="BI202" i="1"/>
  <c r="BG202" i="1"/>
  <c r="BG201" i="1" s="1"/>
  <c r="BE202" i="1"/>
  <c r="BE201" i="1" s="1"/>
  <c r="BC202" i="1"/>
  <c r="BC201" i="1" s="1"/>
  <c r="BA202" i="1"/>
  <c r="BA201" i="1" s="1"/>
  <c r="AY202" i="1"/>
  <c r="AY201" i="1" s="1"/>
  <c r="AW202" i="1"/>
  <c r="AU202" i="1"/>
  <c r="AU201" i="1" s="1"/>
  <c r="AS202" i="1"/>
  <c r="AS201" i="1" s="1"/>
  <c r="AO202" i="1"/>
  <c r="AO201" i="1" s="1"/>
  <c r="AM202" i="1"/>
  <c r="AM201" i="1" s="1"/>
  <c r="AI202" i="1"/>
  <c r="AI201" i="1" s="1"/>
  <c r="AG202" i="1"/>
  <c r="AG201" i="1" s="1"/>
  <c r="AE202" i="1"/>
  <c r="AE201" i="1" s="1"/>
  <c r="AC202" i="1"/>
  <c r="AC201" i="1" s="1"/>
  <c r="Y202" i="1"/>
  <c r="Y201" i="1" s="1"/>
  <c r="W202" i="1"/>
  <c r="W201" i="1" s="1"/>
  <c r="U202" i="1"/>
  <c r="U201" i="1" s="1"/>
  <c r="S202" i="1"/>
  <c r="S201" i="1" s="1"/>
  <c r="Q202" i="1"/>
  <c r="Q201" i="1" s="1"/>
  <c r="CO201" i="1"/>
  <c r="CN201" i="1"/>
  <c r="CM201" i="1"/>
  <c r="CL201" i="1"/>
  <c r="CK201" i="1"/>
  <c r="CJ201" i="1"/>
  <c r="CH201" i="1"/>
  <c r="CF201" i="1"/>
  <c r="CD201" i="1"/>
  <c r="CB201" i="1"/>
  <c r="BZ201" i="1"/>
  <c r="BX201" i="1"/>
  <c r="BV201" i="1"/>
  <c r="BU201" i="1"/>
  <c r="BT201" i="1"/>
  <c r="BR201" i="1"/>
  <c r="BQ201" i="1"/>
  <c r="BP201" i="1"/>
  <c r="BN201" i="1"/>
  <c r="BL201" i="1"/>
  <c r="BJ201" i="1"/>
  <c r="BI201" i="1"/>
  <c r="BH201" i="1"/>
  <c r="BF201" i="1"/>
  <c r="BD201" i="1"/>
  <c r="BB201" i="1"/>
  <c r="AZ201" i="1"/>
  <c r="AX201" i="1"/>
  <c r="AW201" i="1"/>
  <c r="AV201" i="1"/>
  <c r="AT201" i="1"/>
  <c r="AR201" i="1"/>
  <c r="AQ201" i="1"/>
  <c r="AP201" i="1"/>
  <c r="AN201" i="1"/>
  <c r="AL201" i="1"/>
  <c r="AH201" i="1"/>
  <c r="AF201" i="1"/>
  <c r="AD201" i="1"/>
  <c r="AB201" i="1"/>
  <c r="AA201" i="1"/>
  <c r="Z201" i="1"/>
  <c r="X201" i="1"/>
  <c r="V201" i="1"/>
  <c r="T201" i="1"/>
  <c r="R201" i="1"/>
  <c r="P201" i="1"/>
  <c r="CP200" i="1"/>
  <c r="CI200" i="1"/>
  <c r="CG200" i="1"/>
  <c r="CG199" i="1" s="1"/>
  <c r="CE200" i="1"/>
  <c r="CE199" i="1" s="1"/>
  <c r="CC200" i="1"/>
  <c r="CC199" i="1" s="1"/>
  <c r="CA200" i="1"/>
  <c r="CA199" i="1" s="1"/>
  <c r="BY200" i="1"/>
  <c r="BY199" i="1" s="1"/>
  <c r="BW200" i="1"/>
  <c r="BU200" i="1"/>
  <c r="BU199" i="1" s="1"/>
  <c r="BS200" i="1"/>
  <c r="BS199" i="1" s="1"/>
  <c r="BO200" i="1"/>
  <c r="BO199" i="1" s="1"/>
  <c r="BM200" i="1"/>
  <c r="BM199" i="1" s="1"/>
  <c r="BK200" i="1"/>
  <c r="BK199" i="1" s="1"/>
  <c r="BI200" i="1"/>
  <c r="BI199" i="1" s="1"/>
  <c r="BG200" i="1"/>
  <c r="BG199" i="1" s="1"/>
  <c r="BE200" i="1"/>
  <c r="BE199" i="1" s="1"/>
  <c r="BC200" i="1"/>
  <c r="BC199" i="1" s="1"/>
  <c r="BA200" i="1"/>
  <c r="BA199" i="1" s="1"/>
  <c r="AY200" i="1"/>
  <c r="AY199" i="1" s="1"/>
  <c r="AW200" i="1"/>
  <c r="AW199" i="1" s="1"/>
  <c r="AU200" i="1"/>
  <c r="AU199" i="1" s="1"/>
  <c r="AS200" i="1"/>
  <c r="AS199" i="1" s="1"/>
  <c r="AO200" i="1"/>
  <c r="AO199" i="1" s="1"/>
  <c r="AM200" i="1"/>
  <c r="AM199" i="1" s="1"/>
  <c r="AI200" i="1"/>
  <c r="AI199" i="1" s="1"/>
  <c r="AG200" i="1"/>
  <c r="AG199" i="1" s="1"/>
  <c r="AE200" i="1"/>
  <c r="AE199" i="1" s="1"/>
  <c r="AC200" i="1"/>
  <c r="AC199" i="1" s="1"/>
  <c r="Y200" i="1"/>
  <c r="Y199" i="1" s="1"/>
  <c r="W200" i="1"/>
  <c r="W199" i="1" s="1"/>
  <c r="U200" i="1"/>
  <c r="S200" i="1"/>
  <c r="S199" i="1" s="1"/>
  <c r="Q200" i="1"/>
  <c r="Q199" i="1" s="1"/>
  <c r="CO199" i="1"/>
  <c r="CN199" i="1"/>
  <c r="CM199" i="1"/>
  <c r="CL199" i="1"/>
  <c r="CK199" i="1"/>
  <c r="CJ199" i="1"/>
  <c r="CI199" i="1"/>
  <c r="CH199" i="1"/>
  <c r="CF199" i="1"/>
  <c r="CD199" i="1"/>
  <c r="CB199" i="1"/>
  <c r="BZ199" i="1"/>
  <c r="BX199" i="1"/>
  <c r="BW199" i="1"/>
  <c r="BV199" i="1"/>
  <c r="BT199" i="1"/>
  <c r="BR199" i="1"/>
  <c r="BQ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Q199" i="1"/>
  <c r="AP199" i="1"/>
  <c r="AN199" i="1"/>
  <c r="AL199" i="1"/>
  <c r="AH199" i="1"/>
  <c r="AF199" i="1"/>
  <c r="AD199" i="1"/>
  <c r="AB199" i="1"/>
  <c r="AA199" i="1"/>
  <c r="Z199" i="1"/>
  <c r="X199" i="1"/>
  <c r="V199" i="1"/>
  <c r="U199" i="1"/>
  <c r="T199" i="1"/>
  <c r="R199" i="1"/>
  <c r="P199" i="1"/>
  <c r="CP198" i="1"/>
  <c r="CI198" i="1"/>
  <c r="CI197" i="1" s="1"/>
  <c r="CG198" i="1"/>
  <c r="CG197" i="1" s="1"/>
  <c r="CE198" i="1"/>
  <c r="CE197" i="1" s="1"/>
  <c r="CC198" i="1"/>
  <c r="CC197" i="1" s="1"/>
  <c r="CA198" i="1"/>
  <c r="CA197" i="1" s="1"/>
  <c r="BY198" i="1"/>
  <c r="BY197" i="1" s="1"/>
  <c r="BW198" i="1"/>
  <c r="BW197" i="1" s="1"/>
  <c r="BU198" i="1"/>
  <c r="BU197" i="1" s="1"/>
  <c r="BS198" i="1"/>
  <c r="BS197" i="1" s="1"/>
  <c r="BO198" i="1"/>
  <c r="BO197" i="1" s="1"/>
  <c r="BM198" i="1"/>
  <c r="BM197" i="1" s="1"/>
  <c r="BK198" i="1"/>
  <c r="BK197" i="1" s="1"/>
  <c r="BI198" i="1"/>
  <c r="BI197" i="1" s="1"/>
  <c r="BG198" i="1"/>
  <c r="BG197" i="1" s="1"/>
  <c r="BE198" i="1"/>
  <c r="BE197" i="1" s="1"/>
  <c r="BC198" i="1"/>
  <c r="BC197" i="1" s="1"/>
  <c r="BA198" i="1"/>
  <c r="BA197" i="1" s="1"/>
  <c r="AY198" i="1"/>
  <c r="AW198" i="1"/>
  <c r="AW197" i="1" s="1"/>
  <c r="AU198" i="1"/>
  <c r="AU197" i="1" s="1"/>
  <c r="AS198" i="1"/>
  <c r="AS197" i="1" s="1"/>
  <c r="AO198" i="1"/>
  <c r="AO197" i="1" s="1"/>
  <c r="AM198" i="1"/>
  <c r="AM197" i="1" s="1"/>
  <c r="AI198" i="1"/>
  <c r="AI197" i="1" s="1"/>
  <c r="AG198" i="1"/>
  <c r="AG197" i="1" s="1"/>
  <c r="AE198" i="1"/>
  <c r="AE197" i="1" s="1"/>
  <c r="AC198" i="1"/>
  <c r="AC197" i="1" s="1"/>
  <c r="Y198" i="1"/>
  <c r="W198" i="1"/>
  <c r="W197" i="1" s="1"/>
  <c r="U198" i="1"/>
  <c r="U197" i="1" s="1"/>
  <c r="S198" i="1"/>
  <c r="S197" i="1" s="1"/>
  <c r="Q198" i="1"/>
  <c r="Q197" i="1" s="1"/>
  <c r="CO197" i="1"/>
  <c r="CN197" i="1"/>
  <c r="CM197" i="1"/>
  <c r="CL197" i="1"/>
  <c r="CK197" i="1"/>
  <c r="CJ197" i="1"/>
  <c r="CH197" i="1"/>
  <c r="CF197" i="1"/>
  <c r="CD197" i="1"/>
  <c r="CB197" i="1"/>
  <c r="BZ197" i="1"/>
  <c r="BX197" i="1"/>
  <c r="BV197" i="1"/>
  <c r="BT197" i="1"/>
  <c r="BR197" i="1"/>
  <c r="BQ197" i="1"/>
  <c r="BP197" i="1"/>
  <c r="BN197" i="1"/>
  <c r="BL197" i="1"/>
  <c r="BJ197" i="1"/>
  <c r="BH197" i="1"/>
  <c r="BF197" i="1"/>
  <c r="BD197" i="1"/>
  <c r="BB197" i="1"/>
  <c r="AZ197" i="1"/>
  <c r="AY197" i="1"/>
  <c r="AX197" i="1"/>
  <c r="AV197" i="1"/>
  <c r="AT197" i="1"/>
  <c r="AR197" i="1"/>
  <c r="AQ197" i="1"/>
  <c r="AP197" i="1"/>
  <c r="AN197" i="1"/>
  <c r="AL197" i="1"/>
  <c r="AH197" i="1"/>
  <c r="AF197" i="1"/>
  <c r="AD197" i="1"/>
  <c r="AB197" i="1"/>
  <c r="AA197" i="1"/>
  <c r="Z197" i="1"/>
  <c r="Y197" i="1"/>
  <c r="X197" i="1"/>
  <c r="V197" i="1"/>
  <c r="T197" i="1"/>
  <c r="R197" i="1"/>
  <c r="P197" i="1"/>
  <c r="CP196" i="1"/>
  <c r="CI196" i="1"/>
  <c r="CG196" i="1"/>
  <c r="CE196" i="1"/>
  <c r="CC196" i="1"/>
  <c r="CA196" i="1"/>
  <c r="BY196" i="1"/>
  <c r="BW196" i="1"/>
  <c r="BU196" i="1"/>
  <c r="BS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O196" i="1"/>
  <c r="AM196" i="1"/>
  <c r="AI196" i="1"/>
  <c r="AG196" i="1"/>
  <c r="AE196" i="1"/>
  <c r="AC196" i="1"/>
  <c r="Y196" i="1"/>
  <c r="W196" i="1"/>
  <c r="U196" i="1"/>
  <c r="S196" i="1"/>
  <c r="Q196" i="1"/>
  <c r="CP195" i="1"/>
  <c r="CI195" i="1"/>
  <c r="CG195" i="1"/>
  <c r="CE195" i="1"/>
  <c r="CC195" i="1"/>
  <c r="CA195" i="1"/>
  <c r="BY195" i="1"/>
  <c r="BW195" i="1"/>
  <c r="BU195" i="1"/>
  <c r="BS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O195" i="1"/>
  <c r="AM195" i="1"/>
  <c r="AI195" i="1"/>
  <c r="AG195" i="1"/>
  <c r="AE195" i="1"/>
  <c r="AC195" i="1"/>
  <c r="Y195" i="1"/>
  <c r="W195" i="1"/>
  <c r="U195" i="1"/>
  <c r="S195" i="1"/>
  <c r="Q195" i="1"/>
  <c r="CP194" i="1"/>
  <c r="CI194" i="1"/>
  <c r="CG194" i="1"/>
  <c r="CE194" i="1"/>
  <c r="CC194" i="1"/>
  <c r="CA194" i="1"/>
  <c r="BY194" i="1"/>
  <c r="BW194" i="1"/>
  <c r="BU194" i="1"/>
  <c r="BS194" i="1"/>
  <c r="BO194" i="1"/>
  <c r="BO193" i="1" s="1"/>
  <c r="BM194" i="1"/>
  <c r="BK194" i="1"/>
  <c r="BI194" i="1"/>
  <c r="BG194" i="1"/>
  <c r="BE194" i="1"/>
  <c r="BC194" i="1"/>
  <c r="BA194" i="1"/>
  <c r="AY194" i="1"/>
  <c r="AW194" i="1"/>
  <c r="AU194" i="1"/>
  <c r="AS194" i="1"/>
  <c r="AO194" i="1"/>
  <c r="AM194" i="1"/>
  <c r="AI194" i="1"/>
  <c r="AG194" i="1"/>
  <c r="AE194" i="1"/>
  <c r="AC194" i="1"/>
  <c r="Y194" i="1"/>
  <c r="Y193" i="1" s="1"/>
  <c r="W194" i="1"/>
  <c r="U194" i="1"/>
  <c r="S194" i="1"/>
  <c r="Q194" i="1"/>
  <c r="CO193" i="1"/>
  <c r="CN193" i="1"/>
  <c r="CM193" i="1"/>
  <c r="CL193" i="1"/>
  <c r="CK193" i="1"/>
  <c r="CJ193" i="1"/>
  <c r="CH193" i="1"/>
  <c r="CF193" i="1"/>
  <c r="CD193" i="1"/>
  <c r="CB193" i="1"/>
  <c r="BZ193" i="1"/>
  <c r="BX193" i="1"/>
  <c r="BV193" i="1"/>
  <c r="BT193" i="1"/>
  <c r="BR193" i="1"/>
  <c r="BQ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Q193" i="1"/>
  <c r="AP193" i="1"/>
  <c r="AN193" i="1"/>
  <c r="AL193" i="1"/>
  <c r="AH193" i="1"/>
  <c r="AF193" i="1"/>
  <c r="AD193" i="1"/>
  <c r="AB193" i="1"/>
  <c r="AA193" i="1"/>
  <c r="Z193" i="1"/>
  <c r="X193" i="1"/>
  <c r="V193" i="1"/>
  <c r="T193" i="1"/>
  <c r="R193" i="1"/>
  <c r="P193" i="1"/>
  <c r="CP192" i="1"/>
  <c r="CI192" i="1"/>
  <c r="CI191" i="1" s="1"/>
  <c r="CG192" i="1"/>
  <c r="CG191" i="1" s="1"/>
  <c r="CE192" i="1"/>
  <c r="CA192" i="1"/>
  <c r="CA191" i="1" s="1"/>
  <c r="BY192" i="1"/>
  <c r="BY191" i="1" s="1"/>
  <c r="BW192" i="1"/>
  <c r="BW191" i="1" s="1"/>
  <c r="BS192" i="1"/>
  <c r="BS191" i="1" s="1"/>
  <c r="BO192" i="1"/>
  <c r="BO191" i="1" s="1"/>
  <c r="BM192" i="1"/>
  <c r="BM191" i="1" s="1"/>
  <c r="BK192" i="1"/>
  <c r="BK191" i="1" s="1"/>
  <c r="BI192" i="1"/>
  <c r="BI191" i="1" s="1"/>
  <c r="BG192" i="1"/>
  <c r="BG191" i="1" s="1"/>
  <c r="BE192" i="1"/>
  <c r="BE191" i="1" s="1"/>
  <c r="BC192" i="1"/>
  <c r="BC191" i="1" s="1"/>
  <c r="BA192" i="1"/>
  <c r="AY192" i="1"/>
  <c r="AY191" i="1" s="1"/>
  <c r="AW192" i="1"/>
  <c r="AW191" i="1" s="1"/>
  <c r="AU192" i="1"/>
  <c r="AU191" i="1" s="1"/>
  <c r="AS192" i="1"/>
  <c r="AS191" i="1" s="1"/>
  <c r="AO192" i="1"/>
  <c r="AO191" i="1" s="1"/>
  <c r="AM192" i="1"/>
  <c r="AM191" i="1" s="1"/>
  <c r="AI192" i="1"/>
  <c r="AI191" i="1" s="1"/>
  <c r="AG192" i="1"/>
  <c r="AG191" i="1" s="1"/>
  <c r="AE192" i="1"/>
  <c r="AE191" i="1" s="1"/>
  <c r="AC192" i="1"/>
  <c r="Y192" i="1"/>
  <c r="Y191" i="1" s="1"/>
  <c r="W192" i="1"/>
  <c r="U192" i="1"/>
  <c r="U191" i="1" s="1"/>
  <c r="S192" i="1"/>
  <c r="S191" i="1" s="1"/>
  <c r="Q192" i="1"/>
  <c r="Q191" i="1" s="1"/>
  <c r="CO191" i="1"/>
  <c r="CN191" i="1"/>
  <c r="CM191" i="1"/>
  <c r="CL191" i="1"/>
  <c r="CK191" i="1"/>
  <c r="CJ191" i="1"/>
  <c r="CH191" i="1"/>
  <c r="CF191" i="1"/>
  <c r="CE191" i="1"/>
  <c r="CD191" i="1"/>
  <c r="CC191" i="1"/>
  <c r="CB191" i="1"/>
  <c r="BZ191" i="1"/>
  <c r="BX191" i="1"/>
  <c r="BV191" i="1"/>
  <c r="BU191" i="1"/>
  <c r="BT191" i="1"/>
  <c r="BR191" i="1"/>
  <c r="BQ191" i="1"/>
  <c r="BP191" i="1"/>
  <c r="BN191" i="1"/>
  <c r="BL191" i="1"/>
  <c r="BJ191" i="1"/>
  <c r="BH191" i="1"/>
  <c r="BF191" i="1"/>
  <c r="BD191" i="1"/>
  <c r="BB191" i="1"/>
  <c r="BA191" i="1"/>
  <c r="AZ191" i="1"/>
  <c r="AX191" i="1"/>
  <c r="AV191" i="1"/>
  <c r="AT191" i="1"/>
  <c r="AR191" i="1"/>
  <c r="AQ191" i="1"/>
  <c r="AP191" i="1"/>
  <c r="AN191" i="1"/>
  <c r="AL191" i="1"/>
  <c r="AH191" i="1"/>
  <c r="AF191" i="1"/>
  <c r="AD191" i="1"/>
  <c r="AC191" i="1"/>
  <c r="AB191" i="1"/>
  <c r="AA191" i="1"/>
  <c r="Z191" i="1"/>
  <c r="X191" i="1"/>
  <c r="W191" i="1"/>
  <c r="V191" i="1"/>
  <c r="T191" i="1"/>
  <c r="R191" i="1"/>
  <c r="P191" i="1"/>
  <c r="CP190" i="1"/>
  <c r="CI190" i="1"/>
  <c r="CG190" i="1"/>
  <c r="CG189" i="1" s="1"/>
  <c r="CE190" i="1"/>
  <c r="CE189" i="1" s="1"/>
  <c r="CA190" i="1"/>
  <c r="CA189" i="1" s="1"/>
  <c r="BY190" i="1"/>
  <c r="BY189" i="1" s="1"/>
  <c r="BW190" i="1"/>
  <c r="BW189" i="1" s="1"/>
  <c r="BS190" i="1"/>
  <c r="BS189" i="1" s="1"/>
  <c r="BO190" i="1"/>
  <c r="BO189" i="1" s="1"/>
  <c r="BM190" i="1"/>
  <c r="BM189" i="1" s="1"/>
  <c r="BK190" i="1"/>
  <c r="BK189" i="1" s="1"/>
  <c r="BI190" i="1"/>
  <c r="BI189" i="1" s="1"/>
  <c r="BG190" i="1"/>
  <c r="BG189" i="1" s="1"/>
  <c r="BE190" i="1"/>
  <c r="BE189" i="1" s="1"/>
  <c r="BC190" i="1"/>
  <c r="BC189" i="1" s="1"/>
  <c r="BA190" i="1"/>
  <c r="BA189" i="1" s="1"/>
  <c r="AY190" i="1"/>
  <c r="AY189" i="1" s="1"/>
  <c r="AW190" i="1"/>
  <c r="AW189" i="1" s="1"/>
  <c r="AU190" i="1"/>
  <c r="AU189" i="1" s="1"/>
  <c r="AS190" i="1"/>
  <c r="AS189" i="1" s="1"/>
  <c r="AO190" i="1"/>
  <c r="AO189" i="1" s="1"/>
  <c r="AM190" i="1"/>
  <c r="AM189" i="1" s="1"/>
  <c r="AI190" i="1"/>
  <c r="AI189" i="1" s="1"/>
  <c r="AG190" i="1"/>
  <c r="AG189" i="1" s="1"/>
  <c r="AE190" i="1"/>
  <c r="AE189" i="1" s="1"/>
  <c r="AC190" i="1"/>
  <c r="AC189" i="1" s="1"/>
  <c r="Y190" i="1"/>
  <c r="Y189" i="1" s="1"/>
  <c r="W190" i="1"/>
  <c r="W189" i="1" s="1"/>
  <c r="U190" i="1"/>
  <c r="U189" i="1" s="1"/>
  <c r="S190" i="1"/>
  <c r="Q190" i="1"/>
  <c r="Q189" i="1" s="1"/>
  <c r="CO189" i="1"/>
  <c r="CN189" i="1"/>
  <c r="CM189" i="1"/>
  <c r="CL189" i="1"/>
  <c r="CK189" i="1"/>
  <c r="CJ189" i="1"/>
  <c r="CI189" i="1"/>
  <c r="CH189" i="1"/>
  <c r="CF189" i="1"/>
  <c r="CD189" i="1"/>
  <c r="CC189" i="1"/>
  <c r="CB189" i="1"/>
  <c r="BZ189" i="1"/>
  <c r="BX189" i="1"/>
  <c r="BV189" i="1"/>
  <c r="BU189" i="1"/>
  <c r="BT189" i="1"/>
  <c r="BR189" i="1"/>
  <c r="BQ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Q189" i="1"/>
  <c r="AP189" i="1"/>
  <c r="AN189" i="1"/>
  <c r="AL189" i="1"/>
  <c r="AH189" i="1"/>
  <c r="AF189" i="1"/>
  <c r="AD189" i="1"/>
  <c r="AB189" i="1"/>
  <c r="AA189" i="1"/>
  <c r="Z189" i="1"/>
  <c r="X189" i="1"/>
  <c r="V189" i="1"/>
  <c r="T189" i="1"/>
  <c r="R189" i="1"/>
  <c r="P189" i="1"/>
  <c r="CP188" i="1"/>
  <c r="CI188" i="1"/>
  <c r="CG188" i="1"/>
  <c r="CE188" i="1"/>
  <c r="CA188" i="1"/>
  <c r="BY188" i="1"/>
  <c r="BW188" i="1"/>
  <c r="BS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O188" i="1"/>
  <c r="AM188" i="1"/>
  <c r="AI188" i="1"/>
  <c r="AG188" i="1"/>
  <c r="AE188" i="1"/>
  <c r="AC188" i="1"/>
  <c r="Y188" i="1"/>
  <c r="W188" i="1"/>
  <c r="U188" i="1"/>
  <c r="S188" i="1"/>
  <c r="Q188" i="1"/>
  <c r="CP187" i="1"/>
  <c r="CP186" i="1" s="1"/>
  <c r="CI187" i="1"/>
  <c r="CG187" i="1"/>
  <c r="CE187" i="1"/>
  <c r="CC187" i="1"/>
  <c r="CC186" i="1" s="1"/>
  <c r="CA187" i="1"/>
  <c r="BY187" i="1"/>
  <c r="BW187" i="1"/>
  <c r="BS187" i="1"/>
  <c r="BS186" i="1" s="1"/>
  <c r="BO187" i="1"/>
  <c r="BM187" i="1"/>
  <c r="BK187" i="1"/>
  <c r="BI187" i="1"/>
  <c r="BG187" i="1"/>
  <c r="BG186" i="1" s="1"/>
  <c r="BE187" i="1"/>
  <c r="BC187" i="1"/>
  <c r="BA187" i="1"/>
  <c r="AY187" i="1"/>
  <c r="AW187" i="1"/>
  <c r="AU187" i="1"/>
  <c r="AS187" i="1"/>
  <c r="AO187" i="1"/>
  <c r="AM187" i="1"/>
  <c r="AI187" i="1"/>
  <c r="AG187" i="1"/>
  <c r="AE187" i="1"/>
  <c r="AE186" i="1" s="1"/>
  <c r="AC187" i="1"/>
  <c r="Y187" i="1"/>
  <c r="W187" i="1"/>
  <c r="U187" i="1"/>
  <c r="S187" i="1"/>
  <c r="Q187" i="1"/>
  <c r="CO186" i="1"/>
  <c r="CN186" i="1"/>
  <c r="CM186" i="1"/>
  <c r="CL186" i="1"/>
  <c r="CK186" i="1"/>
  <c r="CJ186" i="1"/>
  <c r="CH186" i="1"/>
  <c r="CF186" i="1"/>
  <c r="CD186" i="1"/>
  <c r="CB186" i="1"/>
  <c r="BZ186" i="1"/>
  <c r="BX186" i="1"/>
  <c r="BV186" i="1"/>
  <c r="BU186" i="1"/>
  <c r="BT186" i="1"/>
  <c r="BR186" i="1"/>
  <c r="BQ186" i="1"/>
  <c r="BP186" i="1"/>
  <c r="BN186" i="1"/>
  <c r="BL186" i="1"/>
  <c r="BJ186" i="1"/>
  <c r="BH186" i="1"/>
  <c r="BF186" i="1"/>
  <c r="BE186" i="1"/>
  <c r="BD186" i="1"/>
  <c r="BB186" i="1"/>
  <c r="AZ186" i="1"/>
  <c r="AX186" i="1"/>
  <c r="AV186" i="1"/>
  <c r="AT186" i="1"/>
  <c r="AR186" i="1"/>
  <c r="AQ186" i="1"/>
  <c r="AP186" i="1"/>
  <c r="AN186" i="1"/>
  <c r="AL186" i="1"/>
  <c r="AH186" i="1"/>
  <c r="AF186" i="1"/>
  <c r="AD186" i="1"/>
  <c r="AB186" i="1"/>
  <c r="AA186" i="1"/>
  <c r="Z186" i="1"/>
  <c r="X186" i="1"/>
  <c r="V186" i="1"/>
  <c r="T186" i="1"/>
  <c r="R186" i="1"/>
  <c r="P186" i="1"/>
  <c r="CP185" i="1"/>
  <c r="CC185" i="1"/>
  <c r="AI185" i="1"/>
  <c r="AG185" i="1"/>
  <c r="AE185" i="1"/>
  <c r="AA185" i="1"/>
  <c r="AA178" i="1" s="1"/>
  <c r="Y185" i="1"/>
  <c r="W185" i="1"/>
  <c r="U185" i="1"/>
  <c r="S185" i="1"/>
  <c r="Q185" i="1"/>
  <c r="CP184" i="1"/>
  <c r="CI184" i="1"/>
  <c r="CG184" i="1"/>
  <c r="CE184" i="1"/>
  <c r="CC184" i="1"/>
  <c r="CA184" i="1"/>
  <c r="BY184" i="1"/>
  <c r="BW184" i="1"/>
  <c r="BS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O184" i="1"/>
  <c r="AM184" i="1"/>
  <c r="AI184" i="1"/>
  <c r="AG184" i="1"/>
  <c r="AE184" i="1"/>
  <c r="AC184" i="1"/>
  <c r="Y184" i="1"/>
  <c r="W184" i="1"/>
  <c r="U184" i="1"/>
  <c r="S184" i="1"/>
  <c r="Q184" i="1"/>
  <c r="CP183" i="1"/>
  <c r="CI183" i="1"/>
  <c r="CG183" i="1"/>
  <c r="CE183" i="1"/>
  <c r="CC183" i="1"/>
  <c r="CA183" i="1"/>
  <c r="BY183" i="1"/>
  <c r="BW183" i="1"/>
  <c r="BS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O183" i="1"/>
  <c r="AM183" i="1"/>
  <c r="AI183" i="1"/>
  <c r="AG183" i="1"/>
  <c r="AE183" i="1"/>
  <c r="AC183" i="1"/>
  <c r="Y183" i="1"/>
  <c r="W183" i="1"/>
  <c r="U183" i="1"/>
  <c r="S183" i="1"/>
  <c r="Q183" i="1"/>
  <c r="CP182" i="1"/>
  <c r="CI182" i="1"/>
  <c r="CG182" i="1"/>
  <c r="CE182" i="1"/>
  <c r="CC182" i="1"/>
  <c r="CA182" i="1"/>
  <c r="BY182" i="1"/>
  <c r="BW182" i="1"/>
  <c r="BS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O182" i="1"/>
  <c r="AM182" i="1"/>
  <c r="AI182" i="1"/>
  <c r="AG182" i="1"/>
  <c r="AE182" i="1"/>
  <c r="AC182" i="1"/>
  <c r="Y182" i="1"/>
  <c r="W182" i="1"/>
  <c r="U182" i="1"/>
  <c r="S182" i="1"/>
  <c r="Q182" i="1"/>
  <c r="CP181" i="1"/>
  <c r="CI181" i="1"/>
  <c r="CG181" i="1"/>
  <c r="CE181" i="1"/>
  <c r="CC181" i="1"/>
  <c r="CA181" i="1"/>
  <c r="BY181" i="1"/>
  <c r="BW181" i="1"/>
  <c r="BS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O181" i="1"/>
  <c r="AM181" i="1"/>
  <c r="AI181" i="1"/>
  <c r="AG181" i="1"/>
  <c r="AE181" i="1"/>
  <c r="AC181" i="1"/>
  <c r="Y181" i="1"/>
  <c r="W181" i="1"/>
  <c r="U181" i="1"/>
  <c r="S181" i="1"/>
  <c r="Q181" i="1"/>
  <c r="CP180" i="1"/>
  <c r="CI180" i="1"/>
  <c r="CG180" i="1"/>
  <c r="CE180" i="1"/>
  <c r="CC180" i="1"/>
  <c r="CA180" i="1"/>
  <c r="BY180" i="1"/>
  <c r="BW180" i="1"/>
  <c r="BS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O180" i="1"/>
  <c r="AM180" i="1"/>
  <c r="AI180" i="1"/>
  <c r="AG180" i="1"/>
  <c r="AE180" i="1"/>
  <c r="AC180" i="1"/>
  <c r="Y180" i="1"/>
  <c r="W180" i="1"/>
  <c r="U180" i="1"/>
  <c r="S180" i="1"/>
  <c r="Q180" i="1"/>
  <c r="CP179" i="1"/>
  <c r="CI179" i="1"/>
  <c r="CG179" i="1"/>
  <c r="CE179" i="1"/>
  <c r="CC179" i="1"/>
  <c r="CA179" i="1"/>
  <c r="BY179" i="1"/>
  <c r="BW179" i="1"/>
  <c r="BU179" i="1"/>
  <c r="BU178" i="1" s="1"/>
  <c r="BS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O179" i="1"/>
  <c r="AM179" i="1"/>
  <c r="AI179" i="1"/>
  <c r="AG179" i="1"/>
  <c r="AE179" i="1"/>
  <c r="AC179" i="1"/>
  <c r="Y179" i="1"/>
  <c r="W179" i="1"/>
  <c r="U179" i="1"/>
  <c r="S179" i="1"/>
  <c r="Q179" i="1"/>
  <c r="CO178" i="1"/>
  <c r="CN178" i="1"/>
  <c r="CM178" i="1"/>
  <c r="CL178" i="1"/>
  <c r="CK178" i="1"/>
  <c r="CJ178" i="1"/>
  <c r="CH178" i="1"/>
  <c r="CF178" i="1"/>
  <c r="CD178" i="1"/>
  <c r="CB178" i="1"/>
  <c r="BZ178" i="1"/>
  <c r="BX178" i="1"/>
  <c r="BV178" i="1"/>
  <c r="BT178" i="1"/>
  <c r="BR178" i="1"/>
  <c r="BQ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Q178" i="1"/>
  <c r="AP178" i="1"/>
  <c r="AN178" i="1"/>
  <c r="AL178" i="1"/>
  <c r="AH178" i="1"/>
  <c r="AF178" i="1"/>
  <c r="AD178" i="1"/>
  <c r="AB178" i="1"/>
  <c r="Z178" i="1"/>
  <c r="X178" i="1"/>
  <c r="V178" i="1"/>
  <c r="T178" i="1"/>
  <c r="R178" i="1"/>
  <c r="P178" i="1"/>
  <c r="CP177" i="1"/>
  <c r="CI177" i="1"/>
  <c r="CG177" i="1"/>
  <c r="CE177" i="1"/>
  <c r="CC177" i="1"/>
  <c r="CA177" i="1"/>
  <c r="BY177" i="1"/>
  <c r="BW177" i="1"/>
  <c r="BU177" i="1"/>
  <c r="BS177" i="1"/>
  <c r="BO177" i="1"/>
  <c r="BM177" i="1"/>
  <c r="BK177" i="1"/>
  <c r="BI177" i="1"/>
  <c r="BG177" i="1"/>
  <c r="BE177" i="1"/>
  <c r="AO177" i="1"/>
  <c r="AM177" i="1"/>
  <c r="AI177" i="1"/>
  <c r="AG177" i="1"/>
  <c r="AE177" i="1"/>
  <c r="AA177" i="1"/>
  <c r="AA171" i="1" s="1"/>
  <c r="Y177" i="1"/>
  <c r="W177" i="1"/>
  <c r="U177" i="1"/>
  <c r="S177" i="1"/>
  <c r="Q177" i="1"/>
  <c r="CP176" i="1"/>
  <c r="CI176" i="1"/>
  <c r="CG176" i="1"/>
  <c r="CE176" i="1"/>
  <c r="CC176" i="1"/>
  <c r="CA176" i="1"/>
  <c r="BY176" i="1"/>
  <c r="BW176" i="1"/>
  <c r="BU176" i="1"/>
  <c r="BS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O176" i="1"/>
  <c r="AM176" i="1"/>
  <c r="AI176" i="1"/>
  <c r="AG176" i="1"/>
  <c r="AE176" i="1"/>
  <c r="AC176" i="1"/>
  <c r="Y176" i="1"/>
  <c r="W176" i="1"/>
  <c r="U176" i="1"/>
  <c r="S176" i="1"/>
  <c r="Q176" i="1"/>
  <c r="CP175" i="1"/>
  <c r="CI175" i="1"/>
  <c r="CG175" i="1"/>
  <c r="CE175" i="1"/>
  <c r="CC175" i="1"/>
  <c r="CA175" i="1"/>
  <c r="BY175" i="1"/>
  <c r="BW175" i="1"/>
  <c r="BU175" i="1"/>
  <c r="BS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O175" i="1"/>
  <c r="AM175" i="1"/>
  <c r="AI175" i="1"/>
  <c r="AG175" i="1"/>
  <c r="AE175" i="1"/>
  <c r="AC175" i="1"/>
  <c r="Y175" i="1"/>
  <c r="W175" i="1"/>
  <c r="U175" i="1"/>
  <c r="S175" i="1"/>
  <c r="Q175" i="1"/>
  <c r="CP174" i="1"/>
  <c r="CI174" i="1"/>
  <c r="CG174" i="1"/>
  <c r="CE174" i="1"/>
  <c r="CC174" i="1"/>
  <c r="CA174" i="1"/>
  <c r="BY174" i="1"/>
  <c r="BW174" i="1"/>
  <c r="BU174" i="1"/>
  <c r="BS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O174" i="1"/>
  <c r="AM174" i="1"/>
  <c r="AI174" i="1"/>
  <c r="AG174" i="1"/>
  <c r="AE174" i="1"/>
  <c r="AC174" i="1"/>
  <c r="Y174" i="1"/>
  <c r="W174" i="1"/>
  <c r="U174" i="1"/>
  <c r="S174" i="1"/>
  <c r="Q174" i="1"/>
  <c r="CP173" i="1"/>
  <c r="CI173" i="1"/>
  <c r="CG173" i="1"/>
  <c r="CE173" i="1"/>
  <c r="CC173" i="1"/>
  <c r="CC171" i="1" s="1"/>
  <c r="CA173" i="1"/>
  <c r="BY173" i="1"/>
  <c r="BW173" i="1"/>
  <c r="BU173" i="1"/>
  <c r="BS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O173" i="1"/>
  <c r="AM173" i="1"/>
  <c r="AI173" i="1"/>
  <c r="AG173" i="1"/>
  <c r="AE173" i="1"/>
  <c r="AC173" i="1"/>
  <c r="Y173" i="1"/>
  <c r="W173" i="1"/>
  <c r="U173" i="1"/>
  <c r="S173" i="1"/>
  <c r="Q173" i="1"/>
  <c r="CP172" i="1"/>
  <c r="CI172" i="1"/>
  <c r="CG172" i="1"/>
  <c r="CE172" i="1"/>
  <c r="CA172" i="1"/>
  <c r="BY172" i="1"/>
  <c r="BW172" i="1"/>
  <c r="BS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O172" i="1"/>
  <c r="AM172" i="1"/>
  <c r="AI172" i="1"/>
  <c r="AG172" i="1"/>
  <c r="AE172" i="1"/>
  <c r="AC172" i="1"/>
  <c r="Y172" i="1"/>
  <c r="W172" i="1"/>
  <c r="U172" i="1"/>
  <c r="S172" i="1"/>
  <c r="Q172" i="1"/>
  <c r="CO171" i="1"/>
  <c r="CN171" i="1"/>
  <c r="CM171" i="1"/>
  <c r="CL171" i="1"/>
  <c r="CK171" i="1"/>
  <c r="CJ171" i="1"/>
  <c r="CH171" i="1"/>
  <c r="CF171" i="1"/>
  <c r="CD171" i="1"/>
  <c r="CB171" i="1"/>
  <c r="BZ171" i="1"/>
  <c r="BX171" i="1"/>
  <c r="BV171" i="1"/>
  <c r="BT171" i="1"/>
  <c r="BR171" i="1"/>
  <c r="BQ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Q171" i="1"/>
  <c r="AP171" i="1"/>
  <c r="AN171" i="1"/>
  <c r="AL171" i="1"/>
  <c r="AH171" i="1"/>
  <c r="AF171" i="1"/>
  <c r="AD171" i="1"/>
  <c r="AB171" i="1"/>
  <c r="Z171" i="1"/>
  <c r="X171" i="1"/>
  <c r="V171" i="1"/>
  <c r="T171" i="1"/>
  <c r="R171" i="1"/>
  <c r="P171" i="1"/>
  <c r="CP170" i="1"/>
  <c r="CI170" i="1"/>
  <c r="CG170" i="1"/>
  <c r="CE170" i="1"/>
  <c r="CC170" i="1"/>
  <c r="CA170" i="1"/>
  <c r="BY170" i="1"/>
  <c r="BW170" i="1"/>
  <c r="BU170" i="1"/>
  <c r="BS170" i="1"/>
  <c r="BO170" i="1"/>
  <c r="BM170" i="1"/>
  <c r="BK170" i="1"/>
  <c r="BI170" i="1"/>
  <c r="BG170" i="1"/>
  <c r="BE170" i="1"/>
  <c r="AO170" i="1"/>
  <c r="AM170" i="1"/>
  <c r="AI170" i="1"/>
  <c r="AG170" i="1"/>
  <c r="AE170" i="1"/>
  <c r="AA170" i="1"/>
  <c r="Y170" i="1"/>
  <c r="W170" i="1"/>
  <c r="U170" i="1"/>
  <c r="S170" i="1"/>
  <c r="Q170" i="1"/>
  <c r="CP169" i="1"/>
  <c r="CI169" i="1"/>
  <c r="CG169" i="1"/>
  <c r="CE169" i="1"/>
  <c r="CC169" i="1"/>
  <c r="CA169" i="1"/>
  <c r="BY169" i="1"/>
  <c r="BW169" i="1"/>
  <c r="BU169" i="1"/>
  <c r="BS169" i="1"/>
  <c r="BO169" i="1"/>
  <c r="BM169" i="1"/>
  <c r="BK169" i="1"/>
  <c r="BI169" i="1"/>
  <c r="BG169" i="1"/>
  <c r="BE169" i="1"/>
  <c r="AO169" i="1"/>
  <c r="AM169" i="1"/>
  <c r="AI169" i="1"/>
  <c r="AG169" i="1"/>
  <c r="AE169" i="1"/>
  <c r="AA169" i="1"/>
  <c r="Y169" i="1"/>
  <c r="W169" i="1"/>
  <c r="U169" i="1"/>
  <c r="S169" i="1"/>
  <c r="Q169" i="1"/>
  <c r="AG168" i="1"/>
  <c r="V168" i="1"/>
  <c r="W168" i="1" s="1"/>
  <c r="AG167" i="1"/>
  <c r="V167" i="1"/>
  <c r="CI166" i="1"/>
  <c r="CG166" i="1"/>
  <c r="CE166" i="1"/>
  <c r="CC166" i="1"/>
  <c r="CA166" i="1"/>
  <c r="BY166" i="1"/>
  <c r="BW166" i="1"/>
  <c r="BU166" i="1"/>
  <c r="BS166" i="1"/>
  <c r="BO166" i="1"/>
  <c r="BM166" i="1"/>
  <c r="BK166" i="1"/>
  <c r="BI166" i="1"/>
  <c r="BG166" i="1"/>
  <c r="BE166" i="1"/>
  <c r="AO166" i="1"/>
  <c r="AM166" i="1"/>
  <c r="AI166" i="1"/>
  <c r="AF166" i="1"/>
  <c r="AG166" i="1" s="1"/>
  <c r="AE166" i="1"/>
  <c r="AA166" i="1"/>
  <c r="Y166" i="1"/>
  <c r="V166" i="1"/>
  <c r="U166" i="1"/>
  <c r="S166" i="1"/>
  <c r="Q166" i="1"/>
  <c r="AF165" i="1"/>
  <c r="AG165" i="1" s="1"/>
  <c r="V165" i="1"/>
  <c r="W165" i="1" s="1"/>
  <c r="AF164" i="1"/>
  <c r="AG164" i="1" s="1"/>
  <c r="V164" i="1"/>
  <c r="CI163" i="1"/>
  <c r="CG163" i="1"/>
  <c r="CE163" i="1"/>
  <c r="CC163" i="1"/>
  <c r="CA163" i="1"/>
  <c r="BY163" i="1"/>
  <c r="BW163" i="1"/>
  <c r="BU163" i="1"/>
  <c r="BS163" i="1"/>
  <c r="BO163" i="1"/>
  <c r="BM163" i="1"/>
  <c r="BK163" i="1"/>
  <c r="BI163" i="1"/>
  <c r="BG163" i="1"/>
  <c r="BE163" i="1"/>
  <c r="AO163" i="1"/>
  <c r="AM163" i="1"/>
  <c r="AI163" i="1"/>
  <c r="AF163" i="1"/>
  <c r="AG163" i="1" s="1"/>
  <c r="AE163" i="1"/>
  <c r="AA163" i="1"/>
  <c r="Y163" i="1"/>
  <c r="V163" i="1"/>
  <c r="U163" i="1"/>
  <c r="S163" i="1"/>
  <c r="Q163" i="1"/>
  <c r="AF162" i="1"/>
  <c r="V162" i="1"/>
  <c r="W162" i="1" s="1"/>
  <c r="AF161" i="1"/>
  <c r="AG161" i="1" s="1"/>
  <c r="V161" i="1"/>
  <c r="CP161" i="1" s="1"/>
  <c r="CI160" i="1"/>
  <c r="CG160" i="1"/>
  <c r="CE160" i="1"/>
  <c r="CC160" i="1"/>
  <c r="CA160" i="1"/>
  <c r="BY160" i="1"/>
  <c r="BW160" i="1"/>
  <c r="BU160" i="1"/>
  <c r="BS160" i="1"/>
  <c r="BO160" i="1"/>
  <c r="BM160" i="1"/>
  <c r="BK160" i="1"/>
  <c r="BI160" i="1"/>
  <c r="BG160" i="1"/>
  <c r="BE160" i="1"/>
  <c r="AO160" i="1"/>
  <c r="AM160" i="1"/>
  <c r="AI160" i="1"/>
  <c r="AF160" i="1"/>
  <c r="AG160" i="1" s="1"/>
  <c r="AE160" i="1"/>
  <c r="AA160" i="1"/>
  <c r="Y160" i="1"/>
  <c r="V160" i="1"/>
  <c r="U160" i="1"/>
  <c r="S160" i="1"/>
  <c r="Q160" i="1"/>
  <c r="AF159" i="1"/>
  <c r="AG159" i="1" s="1"/>
  <c r="W159" i="1"/>
  <c r="V159" i="1"/>
  <c r="CP159" i="1" s="1"/>
  <c r="AF158" i="1"/>
  <c r="AG158" i="1" s="1"/>
  <c r="V158" i="1"/>
  <c r="W158" i="1" s="1"/>
  <c r="CI157" i="1"/>
  <c r="CG157" i="1"/>
  <c r="CE157" i="1"/>
  <c r="CC157" i="1"/>
  <c r="CA157" i="1"/>
  <c r="BY157" i="1"/>
  <c r="BW157" i="1"/>
  <c r="BU157" i="1"/>
  <c r="BS157" i="1"/>
  <c r="BO157" i="1"/>
  <c r="BM157" i="1"/>
  <c r="BK157" i="1"/>
  <c r="BI157" i="1"/>
  <c r="BG157" i="1"/>
  <c r="BE157" i="1"/>
  <c r="AO157" i="1"/>
  <c r="AM157" i="1"/>
  <c r="AI157" i="1"/>
  <c r="AF157" i="1"/>
  <c r="AG157" i="1" s="1"/>
  <c r="AE157" i="1"/>
  <c r="AA157" i="1"/>
  <c r="Y157" i="1"/>
  <c r="V157" i="1"/>
  <c r="CP157" i="1" s="1"/>
  <c r="U157" i="1"/>
  <c r="S157" i="1"/>
  <c r="Q157" i="1"/>
  <c r="CI156" i="1"/>
  <c r="CG156" i="1"/>
  <c r="CE156" i="1"/>
  <c r="CC156" i="1"/>
  <c r="CA156" i="1"/>
  <c r="BY156" i="1"/>
  <c r="BW156" i="1"/>
  <c r="BU156" i="1"/>
  <c r="BS156" i="1"/>
  <c r="BO156" i="1"/>
  <c r="BM156" i="1"/>
  <c r="BK156" i="1"/>
  <c r="BI156" i="1"/>
  <c r="BG156" i="1"/>
  <c r="BE156" i="1"/>
  <c r="AO156" i="1"/>
  <c r="AM156" i="1"/>
  <c r="AI156" i="1"/>
  <c r="AF156" i="1"/>
  <c r="CP156" i="1" s="1"/>
  <c r="AE156" i="1"/>
  <c r="AA156" i="1"/>
  <c r="Y156" i="1"/>
  <c r="W156" i="1"/>
  <c r="U156" i="1"/>
  <c r="S156" i="1"/>
  <c r="Q156" i="1"/>
  <c r="AF155" i="1"/>
  <c r="AG155" i="1" s="1"/>
  <c r="V155" i="1"/>
  <c r="CP155" i="1" s="1"/>
  <c r="AG154" i="1"/>
  <c r="AF154" i="1"/>
  <c r="V154" i="1"/>
  <c r="W154" i="1" s="1"/>
  <c r="CI153" i="1"/>
  <c r="CG153" i="1"/>
  <c r="CE153" i="1"/>
  <c r="CC153" i="1"/>
  <c r="CA153" i="1"/>
  <c r="BY153" i="1"/>
  <c r="BW153" i="1"/>
  <c r="BU153" i="1"/>
  <c r="BS153" i="1"/>
  <c r="BO153" i="1"/>
  <c r="BM153" i="1"/>
  <c r="BK153" i="1"/>
  <c r="BI153" i="1"/>
  <c r="BG153" i="1"/>
  <c r="BE153" i="1"/>
  <c r="AO153" i="1"/>
  <c r="AM153" i="1"/>
  <c r="AI153" i="1"/>
  <c r="AF153" i="1"/>
  <c r="AG153" i="1" s="1"/>
  <c r="AE153" i="1"/>
  <c r="AA153" i="1"/>
  <c r="Y153" i="1"/>
  <c r="V153" i="1"/>
  <c r="U153" i="1"/>
  <c r="S153" i="1"/>
  <c r="Q153" i="1"/>
  <c r="CI152" i="1"/>
  <c r="CG152" i="1"/>
  <c r="CE152" i="1"/>
  <c r="CC152" i="1"/>
  <c r="CA152" i="1"/>
  <c r="BY152" i="1"/>
  <c r="BW152" i="1"/>
  <c r="BU152" i="1"/>
  <c r="BS152" i="1"/>
  <c r="BO152" i="1"/>
  <c r="BM152" i="1"/>
  <c r="BK152" i="1"/>
  <c r="BI152" i="1"/>
  <c r="BG152" i="1"/>
  <c r="BE152" i="1"/>
  <c r="AO152" i="1"/>
  <c r="AM152" i="1"/>
  <c r="AI152" i="1"/>
  <c r="AF152" i="1"/>
  <c r="AG152" i="1" s="1"/>
  <c r="AE152" i="1"/>
  <c r="AA152" i="1"/>
  <c r="Y152" i="1"/>
  <c r="W152" i="1"/>
  <c r="U152" i="1"/>
  <c r="S152" i="1"/>
  <c r="Q152" i="1"/>
  <c r="CI151" i="1"/>
  <c r="CG151" i="1"/>
  <c r="CE151" i="1"/>
  <c r="CC151" i="1"/>
  <c r="CA151" i="1"/>
  <c r="BY151" i="1"/>
  <c r="BW151" i="1"/>
  <c r="BU151" i="1"/>
  <c r="BS151" i="1"/>
  <c r="BO151" i="1"/>
  <c r="BM151" i="1"/>
  <c r="BK151" i="1"/>
  <c r="BI151" i="1"/>
  <c r="BG151" i="1"/>
  <c r="BE151" i="1"/>
  <c r="AO151" i="1"/>
  <c r="AM151" i="1"/>
  <c r="AI151" i="1"/>
  <c r="AF151" i="1"/>
  <c r="CP151" i="1" s="1"/>
  <c r="AE151" i="1"/>
  <c r="AA151" i="1"/>
  <c r="Y151" i="1"/>
  <c r="W151" i="1"/>
  <c r="U151" i="1"/>
  <c r="S151" i="1"/>
  <c r="Q151" i="1"/>
  <c r="AF150" i="1"/>
  <c r="AG150" i="1" s="1"/>
  <c r="V150" i="1"/>
  <c r="W150" i="1" s="1"/>
  <c r="AF149" i="1"/>
  <c r="AG149" i="1" s="1"/>
  <c r="V149" i="1"/>
  <c r="W149" i="1" s="1"/>
  <c r="CI148" i="1"/>
  <c r="CG148" i="1"/>
  <c r="CE148" i="1"/>
  <c r="CC148" i="1"/>
  <c r="CA148" i="1"/>
  <c r="BY148" i="1"/>
  <c r="BW148" i="1"/>
  <c r="BU148" i="1"/>
  <c r="BS148" i="1"/>
  <c r="BO148" i="1"/>
  <c r="BM148" i="1"/>
  <c r="BK148" i="1"/>
  <c r="BI148" i="1"/>
  <c r="BG148" i="1"/>
  <c r="BE148" i="1"/>
  <c r="AO148" i="1"/>
  <c r="AM148" i="1"/>
  <c r="AI148" i="1"/>
  <c r="AF148" i="1"/>
  <c r="AE148" i="1"/>
  <c r="AA148" i="1"/>
  <c r="Y148" i="1"/>
  <c r="W148" i="1"/>
  <c r="V148" i="1"/>
  <c r="U148" i="1"/>
  <c r="S148" i="1"/>
  <c r="Q148" i="1"/>
  <c r="AG147" i="1"/>
  <c r="V147" i="1"/>
  <c r="W147" i="1" s="1"/>
  <c r="AG146" i="1"/>
  <c r="V146" i="1"/>
  <c r="CP146" i="1" s="1"/>
  <c r="AG145" i="1"/>
  <c r="V145" i="1"/>
  <c r="CP145" i="1" s="1"/>
  <c r="CI144" i="1"/>
  <c r="CG144" i="1"/>
  <c r="CE144" i="1"/>
  <c r="CC144" i="1"/>
  <c r="CA144" i="1"/>
  <c r="BY144" i="1"/>
  <c r="BW144" i="1"/>
  <c r="BU144" i="1"/>
  <c r="BS144" i="1"/>
  <c r="BO144" i="1"/>
  <c r="BM144" i="1"/>
  <c r="BK144" i="1"/>
  <c r="BI144" i="1"/>
  <c r="BG144" i="1"/>
  <c r="BE144" i="1"/>
  <c r="AO144" i="1"/>
  <c r="AM144" i="1"/>
  <c r="AI144" i="1"/>
  <c r="AG144" i="1"/>
  <c r="AF144" i="1"/>
  <c r="AE144" i="1"/>
  <c r="AA144" i="1"/>
  <c r="Y144" i="1"/>
  <c r="V144" i="1"/>
  <c r="U144" i="1"/>
  <c r="S144" i="1"/>
  <c r="Q144" i="1"/>
  <c r="V143" i="1"/>
  <c r="CP143" i="1" s="1"/>
  <c r="V142" i="1"/>
  <c r="W141" i="1"/>
  <c r="CQ141" i="1" s="1"/>
  <c r="V141" i="1"/>
  <c r="CP141" i="1" s="1"/>
  <c r="CP140" i="1"/>
  <c r="CI140" i="1"/>
  <c r="CG140" i="1"/>
  <c r="CE140" i="1"/>
  <c r="CC140" i="1"/>
  <c r="CA140" i="1"/>
  <c r="BY140" i="1"/>
  <c r="BW140" i="1"/>
  <c r="BU140" i="1"/>
  <c r="BS140" i="1"/>
  <c r="BO140" i="1"/>
  <c r="BM140" i="1"/>
  <c r="BK140" i="1"/>
  <c r="BI140" i="1"/>
  <c r="BG140" i="1"/>
  <c r="BE140" i="1"/>
  <c r="AO140" i="1"/>
  <c r="AM140" i="1"/>
  <c r="AI140" i="1"/>
  <c r="AG140" i="1"/>
  <c r="AE140" i="1"/>
  <c r="AA140" i="1"/>
  <c r="Y140" i="1"/>
  <c r="W140" i="1"/>
  <c r="U140" i="1"/>
  <c r="S140" i="1"/>
  <c r="Q140" i="1"/>
  <c r="AG139" i="1"/>
  <c r="W139" i="1"/>
  <c r="V139" i="1"/>
  <c r="CP139" i="1" s="1"/>
  <c r="AG138" i="1"/>
  <c r="V138" i="1"/>
  <c r="CP138" i="1" s="1"/>
  <c r="CP137" i="1"/>
  <c r="AG137" i="1"/>
  <c r="V137" i="1"/>
  <c r="W137" i="1" s="1"/>
  <c r="CI136" i="1"/>
  <c r="CG136" i="1"/>
  <c r="CE136" i="1"/>
  <c r="CC136" i="1"/>
  <c r="CA136" i="1"/>
  <c r="BY136" i="1"/>
  <c r="BW136" i="1"/>
  <c r="BU136" i="1"/>
  <c r="BS136" i="1"/>
  <c r="BO136" i="1"/>
  <c r="BM136" i="1"/>
  <c r="BK136" i="1"/>
  <c r="BI136" i="1"/>
  <c r="BG136" i="1"/>
  <c r="BE136" i="1"/>
  <c r="AO136" i="1"/>
  <c r="AM136" i="1"/>
  <c r="AI136" i="1"/>
  <c r="AG136" i="1"/>
  <c r="AE136" i="1"/>
  <c r="AA136" i="1"/>
  <c r="Y136" i="1"/>
  <c r="V136" i="1"/>
  <c r="CP136" i="1" s="1"/>
  <c r="U136" i="1"/>
  <c r="S136" i="1"/>
  <c r="Q136" i="1"/>
  <c r="V135" i="1"/>
  <c r="CP135" i="1" s="1"/>
  <c r="CP134" i="1"/>
  <c r="V134" i="1"/>
  <c r="W134" i="1" s="1"/>
  <c r="CQ134" i="1" s="1"/>
  <c r="W133" i="1"/>
  <c r="CQ133" i="1" s="1"/>
  <c r="V133" i="1"/>
  <c r="CP133" i="1" s="1"/>
  <c r="CI132" i="1"/>
  <c r="CG132" i="1"/>
  <c r="CE132" i="1"/>
  <c r="CC132" i="1"/>
  <c r="CA132" i="1"/>
  <c r="BY132" i="1"/>
  <c r="BW132" i="1"/>
  <c r="BU132" i="1"/>
  <c r="BS132" i="1"/>
  <c r="BO132" i="1"/>
  <c r="BM132" i="1"/>
  <c r="BK132" i="1"/>
  <c r="BI132" i="1"/>
  <c r="BG132" i="1"/>
  <c r="BE132" i="1"/>
  <c r="AO132" i="1"/>
  <c r="AM132" i="1"/>
  <c r="AI132" i="1"/>
  <c r="AG132" i="1"/>
  <c r="AE132" i="1"/>
  <c r="AA132" i="1"/>
  <c r="Y132" i="1"/>
  <c r="V132" i="1"/>
  <c r="CP132" i="1" s="1"/>
  <c r="U132" i="1"/>
  <c r="S132" i="1"/>
  <c r="Q132" i="1"/>
  <c r="AF131" i="1"/>
  <c r="V131" i="1"/>
  <c r="W131" i="1" s="1"/>
  <c r="AF130" i="1"/>
  <c r="AG130" i="1" s="1"/>
  <c r="V130" i="1"/>
  <c r="W130" i="1" s="1"/>
  <c r="AF129" i="1"/>
  <c r="V129" i="1"/>
  <c r="W129" i="1" s="1"/>
  <c r="CI128" i="1"/>
  <c r="CG128" i="1"/>
  <c r="CE128" i="1"/>
  <c r="CC128" i="1"/>
  <c r="CA128" i="1"/>
  <c r="BY128" i="1"/>
  <c r="BW128" i="1"/>
  <c r="BU128" i="1"/>
  <c r="BS128" i="1"/>
  <c r="BO128" i="1"/>
  <c r="BM128" i="1"/>
  <c r="BK128" i="1"/>
  <c r="BI128" i="1"/>
  <c r="BG128" i="1"/>
  <c r="BE128" i="1"/>
  <c r="AO128" i="1"/>
  <c r="AM128" i="1"/>
  <c r="AI128" i="1"/>
  <c r="AF128" i="1"/>
  <c r="AE128" i="1"/>
  <c r="AA128" i="1"/>
  <c r="Y128" i="1"/>
  <c r="V128" i="1"/>
  <c r="W128" i="1" s="1"/>
  <c r="U128" i="1"/>
  <c r="S128" i="1"/>
  <c r="Q128" i="1"/>
  <c r="V127" i="1"/>
  <c r="CP127" i="1" s="1"/>
  <c r="V126" i="1"/>
  <c r="CP126" i="1" s="1"/>
  <c r="V125" i="1"/>
  <c r="W125" i="1" s="1"/>
  <c r="CQ125" i="1" s="1"/>
  <c r="CI124" i="1"/>
  <c r="CG124" i="1"/>
  <c r="CE124" i="1"/>
  <c r="CC124" i="1"/>
  <c r="CA124" i="1"/>
  <c r="BY124" i="1"/>
  <c r="BW124" i="1"/>
  <c r="BU124" i="1"/>
  <c r="BS124" i="1"/>
  <c r="BO124" i="1"/>
  <c r="BM124" i="1"/>
  <c r="BK124" i="1"/>
  <c r="BI124" i="1"/>
  <c r="BG124" i="1"/>
  <c r="BE124" i="1"/>
  <c r="AO124" i="1"/>
  <c r="AM124" i="1"/>
  <c r="AI124" i="1"/>
  <c r="AG124" i="1"/>
  <c r="AE124" i="1"/>
  <c r="AA124" i="1"/>
  <c r="Y124" i="1"/>
  <c r="V124" i="1"/>
  <c r="CP124" i="1" s="1"/>
  <c r="U124" i="1"/>
  <c r="S124" i="1"/>
  <c r="Q124" i="1"/>
  <c r="AG123" i="1"/>
  <c r="V123" i="1"/>
  <c r="AG122" i="1"/>
  <c r="V122" i="1"/>
  <c r="CP122" i="1" s="1"/>
  <c r="AG121" i="1"/>
  <c r="W121" i="1"/>
  <c r="V121" i="1"/>
  <c r="CP121" i="1" s="1"/>
  <c r="CI120" i="1"/>
  <c r="CG120" i="1"/>
  <c r="CE120" i="1"/>
  <c r="CC120" i="1"/>
  <c r="CA120" i="1"/>
  <c r="BY120" i="1"/>
  <c r="BW120" i="1"/>
  <c r="BU120" i="1"/>
  <c r="BS120" i="1"/>
  <c r="BO120" i="1"/>
  <c r="BM120" i="1"/>
  <c r="BK120" i="1"/>
  <c r="BI120" i="1"/>
  <c r="BG120" i="1"/>
  <c r="BE120" i="1"/>
  <c r="AO120" i="1"/>
  <c r="AM120" i="1"/>
  <c r="AI120" i="1"/>
  <c r="AG120" i="1"/>
  <c r="AE120" i="1"/>
  <c r="AA120" i="1"/>
  <c r="Y120" i="1"/>
  <c r="V120" i="1"/>
  <c r="CP120" i="1" s="1"/>
  <c r="U120" i="1"/>
  <c r="S120" i="1"/>
  <c r="Q120" i="1"/>
  <c r="AG119" i="1"/>
  <c r="V119" i="1"/>
  <c r="AF118" i="1"/>
  <c r="AG118" i="1" s="1"/>
  <c r="V118" i="1"/>
  <c r="W118" i="1" s="1"/>
  <c r="AF117" i="1"/>
  <c r="AG117" i="1" s="1"/>
  <c r="V117" i="1"/>
  <c r="CP117" i="1" s="1"/>
  <c r="CI116" i="1"/>
  <c r="CG116" i="1"/>
  <c r="CE116" i="1"/>
  <c r="CC116" i="1"/>
  <c r="CA116" i="1"/>
  <c r="BY116" i="1"/>
  <c r="BW116" i="1"/>
  <c r="BU116" i="1"/>
  <c r="BS116" i="1"/>
  <c r="BO116" i="1"/>
  <c r="BM116" i="1"/>
  <c r="BK116" i="1"/>
  <c r="BI116" i="1"/>
  <c r="BG116" i="1"/>
  <c r="BE116" i="1"/>
  <c r="AO116" i="1"/>
  <c r="AM116" i="1"/>
  <c r="AI116" i="1"/>
  <c r="AF116" i="1"/>
  <c r="AF81" i="1" s="1"/>
  <c r="AE116" i="1"/>
  <c r="AA116" i="1"/>
  <c r="Y116" i="1"/>
  <c r="V116" i="1"/>
  <c r="W116" i="1" s="1"/>
  <c r="U116" i="1"/>
  <c r="S116" i="1"/>
  <c r="Q116" i="1"/>
  <c r="CP115" i="1"/>
  <c r="CI115" i="1"/>
  <c r="CG115" i="1"/>
  <c r="CE115" i="1"/>
  <c r="CC115" i="1"/>
  <c r="CA115" i="1"/>
  <c r="BY115" i="1"/>
  <c r="BW115" i="1"/>
  <c r="BU115" i="1"/>
  <c r="BS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O115" i="1"/>
  <c r="AM115" i="1"/>
  <c r="AI115" i="1"/>
  <c r="AG115" i="1"/>
  <c r="AE115" i="1"/>
  <c r="AC115" i="1"/>
  <c r="Y115" i="1"/>
  <c r="W115" i="1"/>
  <c r="U115" i="1"/>
  <c r="S115" i="1"/>
  <c r="Q115" i="1"/>
  <c r="CP114" i="1"/>
  <c r="CI114" i="1"/>
  <c r="CG114" i="1"/>
  <c r="CE114" i="1"/>
  <c r="CC114" i="1"/>
  <c r="CA114" i="1"/>
  <c r="BY114" i="1"/>
  <c r="BW114" i="1"/>
  <c r="BU114" i="1"/>
  <c r="BS114" i="1"/>
  <c r="BO114" i="1"/>
  <c r="BM114" i="1"/>
  <c r="BK114" i="1"/>
  <c r="BI114" i="1"/>
  <c r="BG114" i="1"/>
  <c r="BE114" i="1"/>
  <c r="AO114" i="1"/>
  <c r="AM114" i="1"/>
  <c r="AI114" i="1"/>
  <c r="AG114" i="1"/>
  <c r="AE114" i="1"/>
  <c r="AA114" i="1"/>
  <c r="Y114" i="1"/>
  <c r="W114" i="1"/>
  <c r="U114" i="1"/>
  <c r="S114" i="1"/>
  <c r="Q114" i="1"/>
  <c r="CP113" i="1"/>
  <c r="CI113" i="1"/>
  <c r="CG113" i="1"/>
  <c r="CE113" i="1"/>
  <c r="CC113" i="1"/>
  <c r="CA113" i="1"/>
  <c r="BY113" i="1"/>
  <c r="BW113" i="1"/>
  <c r="BU113" i="1"/>
  <c r="BS113" i="1"/>
  <c r="BO113" i="1"/>
  <c r="BM113" i="1"/>
  <c r="BK113" i="1"/>
  <c r="BI113" i="1"/>
  <c r="BG113" i="1"/>
  <c r="BE113" i="1"/>
  <c r="AO113" i="1"/>
  <c r="AM113" i="1"/>
  <c r="AI113" i="1"/>
  <c r="AG113" i="1"/>
  <c r="AE113" i="1"/>
  <c r="AA113" i="1"/>
  <c r="Y113" i="1"/>
  <c r="W113" i="1"/>
  <c r="U113" i="1"/>
  <c r="S113" i="1"/>
  <c r="Q113" i="1"/>
  <c r="CP112" i="1"/>
  <c r="CI112" i="1"/>
  <c r="CG112" i="1"/>
  <c r="CE112" i="1"/>
  <c r="CC112" i="1"/>
  <c r="CA112" i="1"/>
  <c r="BY112" i="1"/>
  <c r="BW112" i="1"/>
  <c r="BU112" i="1"/>
  <c r="BS112" i="1"/>
  <c r="BO112" i="1"/>
  <c r="BM112" i="1"/>
  <c r="BK112" i="1"/>
  <c r="BI112" i="1"/>
  <c r="BG112" i="1"/>
  <c r="BE112" i="1"/>
  <c r="AO112" i="1"/>
  <c r="AM112" i="1"/>
  <c r="AI112" i="1"/>
  <c r="AG112" i="1"/>
  <c r="AE112" i="1"/>
  <c r="AA112" i="1"/>
  <c r="Y112" i="1"/>
  <c r="W112" i="1"/>
  <c r="U112" i="1"/>
  <c r="S112" i="1"/>
  <c r="Q112" i="1"/>
  <c r="CP111" i="1"/>
  <c r="CI111" i="1"/>
  <c r="CG111" i="1"/>
  <c r="CE111" i="1"/>
  <c r="CC111" i="1"/>
  <c r="CA111" i="1"/>
  <c r="BY111" i="1"/>
  <c r="BW111" i="1"/>
  <c r="BU111" i="1"/>
  <c r="BS111" i="1"/>
  <c r="BO111" i="1"/>
  <c r="BM111" i="1"/>
  <c r="BK111" i="1"/>
  <c r="BI111" i="1"/>
  <c r="BG111" i="1"/>
  <c r="BE111" i="1"/>
  <c r="AO111" i="1"/>
  <c r="AM111" i="1"/>
  <c r="AI111" i="1"/>
  <c r="AG111" i="1"/>
  <c r="AE111" i="1"/>
  <c r="AA111" i="1"/>
  <c r="Y111" i="1"/>
  <c r="W111" i="1"/>
  <c r="U111" i="1"/>
  <c r="S111" i="1"/>
  <c r="Q111" i="1"/>
  <c r="CP110" i="1"/>
  <c r="CI110" i="1"/>
  <c r="CG110" i="1"/>
  <c r="CE110" i="1"/>
  <c r="CC110" i="1"/>
  <c r="CA110" i="1"/>
  <c r="BY110" i="1"/>
  <c r="BW110" i="1"/>
  <c r="BU110" i="1"/>
  <c r="BS110" i="1"/>
  <c r="BO110" i="1"/>
  <c r="BM110" i="1"/>
  <c r="BK110" i="1"/>
  <c r="BI110" i="1"/>
  <c r="BG110" i="1"/>
  <c r="BE110" i="1"/>
  <c r="AO110" i="1"/>
  <c r="AM110" i="1"/>
  <c r="AI110" i="1"/>
  <c r="AG110" i="1"/>
  <c r="AE110" i="1"/>
  <c r="AA110" i="1"/>
  <c r="Y110" i="1"/>
  <c r="W110" i="1"/>
  <c r="U110" i="1"/>
  <c r="S110" i="1"/>
  <c r="Q110" i="1"/>
  <c r="CP109" i="1"/>
  <c r="CI109" i="1"/>
  <c r="CG109" i="1"/>
  <c r="CE109" i="1"/>
  <c r="CC109" i="1"/>
  <c r="CA109" i="1"/>
  <c r="BY109" i="1"/>
  <c r="BW109" i="1"/>
  <c r="BU109" i="1"/>
  <c r="BS109" i="1"/>
  <c r="BO109" i="1"/>
  <c r="BM109" i="1"/>
  <c r="BK109" i="1"/>
  <c r="BI109" i="1"/>
  <c r="BG109" i="1"/>
  <c r="BE109" i="1"/>
  <c r="AO109" i="1"/>
  <c r="AM109" i="1"/>
  <c r="AI109" i="1"/>
  <c r="AG109" i="1"/>
  <c r="AE109" i="1"/>
  <c r="AA109" i="1"/>
  <c r="Y109" i="1"/>
  <c r="W109" i="1"/>
  <c r="U109" i="1"/>
  <c r="S109" i="1"/>
  <c r="Q109" i="1"/>
  <c r="CP108" i="1"/>
  <c r="CI108" i="1"/>
  <c r="CG108" i="1"/>
  <c r="CE108" i="1"/>
  <c r="CC108" i="1"/>
  <c r="CA108" i="1"/>
  <c r="BY108" i="1"/>
  <c r="BW108" i="1"/>
  <c r="BU108" i="1"/>
  <c r="BS108" i="1"/>
  <c r="BO108" i="1"/>
  <c r="BM108" i="1"/>
  <c r="BK108" i="1"/>
  <c r="BI108" i="1"/>
  <c r="BG108" i="1"/>
  <c r="BE108" i="1"/>
  <c r="AO108" i="1"/>
  <c r="AM108" i="1"/>
  <c r="AI108" i="1"/>
  <c r="AG108" i="1"/>
  <c r="AE108" i="1"/>
  <c r="AA108" i="1"/>
  <c r="Y108" i="1"/>
  <c r="W108" i="1"/>
  <c r="U108" i="1"/>
  <c r="S108" i="1"/>
  <c r="Q108" i="1"/>
  <c r="CP107" i="1"/>
  <c r="CI107" i="1"/>
  <c r="CG107" i="1"/>
  <c r="CE107" i="1"/>
  <c r="CC107" i="1"/>
  <c r="CA107" i="1"/>
  <c r="BY107" i="1"/>
  <c r="BW107" i="1"/>
  <c r="BU107" i="1"/>
  <c r="BS107" i="1"/>
  <c r="BO107" i="1"/>
  <c r="BM107" i="1"/>
  <c r="BK107" i="1"/>
  <c r="BI107" i="1"/>
  <c r="BG107" i="1"/>
  <c r="BE107" i="1"/>
  <c r="AO107" i="1"/>
  <c r="AM107" i="1"/>
  <c r="AI107" i="1"/>
  <c r="AG107" i="1"/>
  <c r="AE107" i="1"/>
  <c r="AA107" i="1"/>
  <c r="Y107" i="1"/>
  <c r="W107" i="1"/>
  <c r="U107" i="1"/>
  <c r="S107" i="1"/>
  <c r="Q107" i="1"/>
  <c r="CP106" i="1"/>
  <c r="CI106" i="1"/>
  <c r="CG106" i="1"/>
  <c r="CE106" i="1"/>
  <c r="CC106" i="1"/>
  <c r="CA106" i="1"/>
  <c r="BY106" i="1"/>
  <c r="BW106" i="1"/>
  <c r="BU106" i="1"/>
  <c r="BS106" i="1"/>
  <c r="BO106" i="1"/>
  <c r="BM106" i="1"/>
  <c r="BK106" i="1"/>
  <c r="BI106" i="1"/>
  <c r="BG106" i="1"/>
  <c r="BE106" i="1"/>
  <c r="AO106" i="1"/>
  <c r="AM106" i="1"/>
  <c r="AI106" i="1"/>
  <c r="AG106" i="1"/>
  <c r="AE106" i="1"/>
  <c r="AA106" i="1"/>
  <c r="Y106" i="1"/>
  <c r="W106" i="1"/>
  <c r="U106" i="1"/>
  <c r="S106" i="1"/>
  <c r="Q106" i="1"/>
  <c r="CP105" i="1"/>
  <c r="CI105" i="1"/>
  <c r="CG105" i="1"/>
  <c r="CE105" i="1"/>
  <c r="CC105" i="1"/>
  <c r="CA105" i="1"/>
  <c r="BY105" i="1"/>
  <c r="BW105" i="1"/>
  <c r="BU105" i="1"/>
  <c r="BS105" i="1"/>
  <c r="BO105" i="1"/>
  <c r="BM105" i="1"/>
  <c r="BK105" i="1"/>
  <c r="BI105" i="1"/>
  <c r="BG105" i="1"/>
  <c r="BE105" i="1"/>
  <c r="AO105" i="1"/>
  <c r="AM105" i="1"/>
  <c r="AI105" i="1"/>
  <c r="AG105" i="1"/>
  <c r="AE105" i="1"/>
  <c r="AA105" i="1"/>
  <c r="Y105" i="1"/>
  <c r="W105" i="1"/>
  <c r="U105" i="1"/>
  <c r="S105" i="1"/>
  <c r="Q105" i="1"/>
  <c r="CP104" i="1"/>
  <c r="CI104" i="1"/>
  <c r="CG104" i="1"/>
  <c r="CE104" i="1"/>
  <c r="CC104" i="1"/>
  <c r="CA104" i="1"/>
  <c r="BY104" i="1"/>
  <c r="BW104" i="1"/>
  <c r="BU104" i="1"/>
  <c r="BS104" i="1"/>
  <c r="BO104" i="1"/>
  <c r="BM104" i="1"/>
  <c r="BK104" i="1"/>
  <c r="BI104" i="1"/>
  <c r="BG104" i="1"/>
  <c r="BE104" i="1"/>
  <c r="AO104" i="1"/>
  <c r="AM104" i="1"/>
  <c r="AI104" i="1"/>
  <c r="AG104" i="1"/>
  <c r="AE104" i="1"/>
  <c r="AA104" i="1"/>
  <c r="Y104" i="1"/>
  <c r="W104" i="1"/>
  <c r="U104" i="1"/>
  <c r="S104" i="1"/>
  <c r="Q104" i="1"/>
  <c r="CP103" i="1"/>
  <c r="CI103" i="1"/>
  <c r="CG103" i="1"/>
  <c r="CE103" i="1"/>
  <c r="CC103" i="1"/>
  <c r="CA103" i="1"/>
  <c r="BY103" i="1"/>
  <c r="BW103" i="1"/>
  <c r="BU103" i="1"/>
  <c r="BS103" i="1"/>
  <c r="BO103" i="1"/>
  <c r="BM103" i="1"/>
  <c r="BK103" i="1"/>
  <c r="BI103" i="1"/>
  <c r="BG103" i="1"/>
  <c r="BE103" i="1"/>
  <c r="AO103" i="1"/>
  <c r="AM103" i="1"/>
  <c r="AI103" i="1"/>
  <c r="AG103" i="1"/>
  <c r="AE103" i="1"/>
  <c r="AA103" i="1"/>
  <c r="Y103" i="1"/>
  <c r="W103" i="1"/>
  <c r="U103" i="1"/>
  <c r="S103" i="1"/>
  <c r="Q103" i="1"/>
  <c r="CP102" i="1"/>
  <c r="CI102" i="1"/>
  <c r="CG102" i="1"/>
  <c r="CE102" i="1"/>
  <c r="CC102" i="1"/>
  <c r="CA102" i="1"/>
  <c r="BY102" i="1"/>
  <c r="BW102" i="1"/>
  <c r="BU102" i="1"/>
  <c r="BS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O102" i="1"/>
  <c r="AM102" i="1"/>
  <c r="AI102" i="1"/>
  <c r="AG102" i="1"/>
  <c r="AE102" i="1"/>
  <c r="AC102" i="1"/>
  <c r="Y102" i="1"/>
  <c r="W102" i="1"/>
  <c r="U102" i="1"/>
  <c r="S102" i="1"/>
  <c r="Q102" i="1"/>
  <c r="CP101" i="1"/>
  <c r="CI101" i="1"/>
  <c r="CG101" i="1"/>
  <c r="CE101" i="1"/>
  <c r="CC101" i="1"/>
  <c r="CA101" i="1"/>
  <c r="BY101" i="1"/>
  <c r="BW101" i="1"/>
  <c r="BU101" i="1"/>
  <c r="BS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O101" i="1"/>
  <c r="AM101" i="1"/>
  <c r="AI101" i="1"/>
  <c r="AG101" i="1"/>
  <c r="AE101" i="1"/>
  <c r="AC101" i="1"/>
  <c r="Y101" i="1"/>
  <c r="W101" i="1"/>
  <c r="U101" i="1"/>
  <c r="S101" i="1"/>
  <c r="Q101" i="1"/>
  <c r="CP100" i="1"/>
  <c r="CI100" i="1"/>
  <c r="CG100" i="1"/>
  <c r="CE100" i="1"/>
  <c r="CC100" i="1"/>
  <c r="CA100" i="1"/>
  <c r="BY100" i="1"/>
  <c r="BW100" i="1"/>
  <c r="BU100" i="1"/>
  <c r="BS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O100" i="1"/>
  <c r="AM100" i="1"/>
  <c r="AI100" i="1"/>
  <c r="AG100" i="1"/>
  <c r="AE100" i="1"/>
  <c r="AC100" i="1"/>
  <c r="Y100" i="1"/>
  <c r="W100" i="1"/>
  <c r="U100" i="1"/>
  <c r="S100" i="1"/>
  <c r="Q100" i="1"/>
  <c r="CP99" i="1"/>
  <c r="CI99" i="1"/>
  <c r="CG99" i="1"/>
  <c r="CE99" i="1"/>
  <c r="CC99" i="1"/>
  <c r="CA99" i="1"/>
  <c r="BY99" i="1"/>
  <c r="BW99" i="1"/>
  <c r="BU99" i="1"/>
  <c r="BS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O99" i="1"/>
  <c r="AM99" i="1"/>
  <c r="AI99" i="1"/>
  <c r="AG99" i="1"/>
  <c r="AE99" i="1"/>
  <c r="AC99" i="1"/>
  <c r="Y99" i="1"/>
  <c r="W99" i="1"/>
  <c r="U99" i="1"/>
  <c r="S99" i="1"/>
  <c r="Q99" i="1"/>
  <c r="CP98" i="1"/>
  <c r="CI98" i="1"/>
  <c r="CG98" i="1"/>
  <c r="CE98" i="1"/>
  <c r="CC98" i="1"/>
  <c r="CA98" i="1"/>
  <c r="BY98" i="1"/>
  <c r="BW98" i="1"/>
  <c r="BU98" i="1"/>
  <c r="BS98" i="1"/>
  <c r="BO98" i="1"/>
  <c r="BM98" i="1"/>
  <c r="BK98" i="1"/>
  <c r="BI98" i="1"/>
  <c r="BG98" i="1"/>
  <c r="BE98" i="1"/>
  <c r="AI98" i="1"/>
  <c r="AG98" i="1"/>
  <c r="AE98" i="1"/>
  <c r="AA98" i="1"/>
  <c r="Y98" i="1"/>
  <c r="W98" i="1"/>
  <c r="U98" i="1"/>
  <c r="S98" i="1"/>
  <c r="Q98" i="1"/>
  <c r="CP97" i="1"/>
  <c r="CI97" i="1"/>
  <c r="CG97" i="1"/>
  <c r="CE97" i="1"/>
  <c r="CC97" i="1"/>
  <c r="CA97" i="1"/>
  <c r="BY97" i="1"/>
  <c r="BW97" i="1"/>
  <c r="BU97" i="1"/>
  <c r="BS97" i="1"/>
  <c r="BO97" i="1"/>
  <c r="BM97" i="1"/>
  <c r="BK97" i="1"/>
  <c r="BI97" i="1"/>
  <c r="BG97" i="1"/>
  <c r="BE97" i="1"/>
  <c r="AI97" i="1"/>
  <c r="AG97" i="1"/>
  <c r="AE97" i="1"/>
  <c r="AA97" i="1"/>
  <c r="Y97" i="1"/>
  <c r="W97" i="1"/>
  <c r="U97" i="1"/>
  <c r="S97" i="1"/>
  <c r="Q97" i="1"/>
  <c r="CP96" i="1"/>
  <c r="CI96" i="1"/>
  <c r="CG96" i="1"/>
  <c r="CE96" i="1"/>
  <c r="CC96" i="1"/>
  <c r="CA96" i="1"/>
  <c r="BY96" i="1"/>
  <c r="BW96" i="1"/>
  <c r="BU96" i="1"/>
  <c r="BS96" i="1"/>
  <c r="BO96" i="1"/>
  <c r="BM96" i="1"/>
  <c r="BK96" i="1"/>
  <c r="BI96" i="1"/>
  <c r="BG96" i="1"/>
  <c r="BE96" i="1"/>
  <c r="AI96" i="1"/>
  <c r="AG96" i="1"/>
  <c r="AE96" i="1"/>
  <c r="AA96" i="1"/>
  <c r="Y96" i="1"/>
  <c r="W96" i="1"/>
  <c r="U96" i="1"/>
  <c r="S96" i="1"/>
  <c r="Q96" i="1"/>
  <c r="CP95" i="1"/>
  <c r="CI95" i="1"/>
  <c r="CG95" i="1"/>
  <c r="CE95" i="1"/>
  <c r="CC95" i="1"/>
  <c r="CA95" i="1"/>
  <c r="BY95" i="1"/>
  <c r="BW95" i="1"/>
  <c r="BU95" i="1"/>
  <c r="BS95" i="1"/>
  <c r="BO95" i="1"/>
  <c r="BM95" i="1"/>
  <c r="BK95" i="1"/>
  <c r="BI95" i="1"/>
  <c r="BG95" i="1"/>
  <c r="BE95" i="1"/>
  <c r="AI95" i="1"/>
  <c r="AG95" i="1"/>
  <c r="AE95" i="1"/>
  <c r="AA95" i="1"/>
  <c r="Y95" i="1"/>
  <c r="W95" i="1"/>
  <c r="U95" i="1"/>
  <c r="S95" i="1"/>
  <c r="Q95" i="1"/>
  <c r="CP94" i="1"/>
  <c r="CI94" i="1"/>
  <c r="CG94" i="1"/>
  <c r="CE94" i="1"/>
  <c r="CC94" i="1"/>
  <c r="CA94" i="1"/>
  <c r="BY94" i="1"/>
  <c r="BW94" i="1"/>
  <c r="BU94" i="1"/>
  <c r="BS94" i="1"/>
  <c r="BO94" i="1"/>
  <c r="BM94" i="1"/>
  <c r="BK94" i="1"/>
  <c r="BI94" i="1"/>
  <c r="BG94" i="1"/>
  <c r="BE94" i="1"/>
  <c r="AI94" i="1"/>
  <c r="AG94" i="1"/>
  <c r="AE94" i="1"/>
  <c r="AA94" i="1"/>
  <c r="Y94" i="1"/>
  <c r="W94" i="1"/>
  <c r="U94" i="1"/>
  <c r="S94" i="1"/>
  <c r="Q94" i="1"/>
  <c r="CP93" i="1"/>
  <c r="CI93" i="1"/>
  <c r="CG93" i="1"/>
  <c r="CE93" i="1"/>
  <c r="CC93" i="1"/>
  <c r="CA93" i="1"/>
  <c r="BY93" i="1"/>
  <c r="BW93" i="1"/>
  <c r="BU93" i="1"/>
  <c r="BS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O93" i="1"/>
  <c r="AM93" i="1"/>
  <c r="AI93" i="1"/>
  <c r="AG93" i="1"/>
  <c r="AE93" i="1"/>
  <c r="AC93" i="1"/>
  <c r="Y93" i="1"/>
  <c r="W93" i="1"/>
  <c r="U93" i="1"/>
  <c r="S93" i="1"/>
  <c r="Q93" i="1"/>
  <c r="CI92" i="1"/>
  <c r="CG92" i="1"/>
  <c r="CE92" i="1"/>
  <c r="CC92" i="1"/>
  <c r="CA92" i="1"/>
  <c r="BY92" i="1"/>
  <c r="BW92" i="1"/>
  <c r="BU92" i="1"/>
  <c r="BS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O92" i="1"/>
  <c r="AM92" i="1"/>
  <c r="AI92" i="1"/>
  <c r="AG92" i="1"/>
  <c r="AE92" i="1"/>
  <c r="AC92" i="1"/>
  <c r="Y92" i="1"/>
  <c r="V92" i="1"/>
  <c r="W92" i="1" s="1"/>
  <c r="U92" i="1"/>
  <c r="S92" i="1"/>
  <c r="Q92" i="1"/>
  <c r="CP91" i="1"/>
  <c r="CI91" i="1"/>
  <c r="CG91" i="1"/>
  <c r="CE91" i="1"/>
  <c r="CC91" i="1"/>
  <c r="CA91" i="1"/>
  <c r="BY91" i="1"/>
  <c r="BW91" i="1"/>
  <c r="BU91" i="1"/>
  <c r="BS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O91" i="1"/>
  <c r="AM91" i="1"/>
  <c r="AI91" i="1"/>
  <c r="AG91" i="1"/>
  <c r="AE91" i="1"/>
  <c r="AC91" i="1"/>
  <c r="Y91" i="1"/>
  <c r="W91" i="1"/>
  <c r="U91" i="1"/>
  <c r="S91" i="1"/>
  <c r="Q91" i="1"/>
  <c r="CP90" i="1"/>
  <c r="CI90" i="1"/>
  <c r="CG90" i="1"/>
  <c r="CE90" i="1"/>
  <c r="CC90" i="1"/>
  <c r="CA90" i="1"/>
  <c r="BY90" i="1"/>
  <c r="BW90" i="1"/>
  <c r="BU90" i="1"/>
  <c r="BS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O90" i="1"/>
  <c r="AM90" i="1"/>
  <c r="AI90" i="1"/>
  <c r="AG90" i="1"/>
  <c r="AE90" i="1"/>
  <c r="AC90" i="1"/>
  <c r="Y90" i="1"/>
  <c r="W90" i="1"/>
  <c r="U90" i="1"/>
  <c r="S90" i="1"/>
  <c r="Q90" i="1"/>
  <c r="CP89" i="1"/>
  <c r="CI89" i="1"/>
  <c r="CG89" i="1"/>
  <c r="CE89" i="1"/>
  <c r="CC89" i="1"/>
  <c r="CA89" i="1"/>
  <c r="BY89" i="1"/>
  <c r="BW89" i="1"/>
  <c r="BU89" i="1"/>
  <c r="BS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O89" i="1"/>
  <c r="AM89" i="1"/>
  <c r="AI89" i="1"/>
  <c r="AG89" i="1"/>
  <c r="AE89" i="1"/>
  <c r="AC89" i="1"/>
  <c r="Y89" i="1"/>
  <c r="W89" i="1"/>
  <c r="U89" i="1"/>
  <c r="S89" i="1"/>
  <c r="Q89" i="1"/>
  <c r="CP88" i="1"/>
  <c r="CI88" i="1"/>
  <c r="CG88" i="1"/>
  <c r="CE88" i="1"/>
  <c r="CC88" i="1"/>
  <c r="CA88" i="1"/>
  <c r="BY88" i="1"/>
  <c r="BW88" i="1"/>
  <c r="BU88" i="1"/>
  <c r="BS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O88" i="1"/>
  <c r="AM88" i="1"/>
  <c r="AI88" i="1"/>
  <c r="AG88" i="1"/>
  <c r="AE88" i="1"/>
  <c r="AC88" i="1"/>
  <c r="Y88" i="1"/>
  <c r="W88" i="1"/>
  <c r="U88" i="1"/>
  <c r="S88" i="1"/>
  <c r="Q88" i="1"/>
  <c r="CP87" i="1"/>
  <c r="CI87" i="1"/>
  <c r="CG87" i="1"/>
  <c r="CE87" i="1"/>
  <c r="CC87" i="1"/>
  <c r="CA87" i="1"/>
  <c r="BY87" i="1"/>
  <c r="BW87" i="1"/>
  <c r="BU87" i="1"/>
  <c r="BS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O87" i="1"/>
  <c r="AM87" i="1"/>
  <c r="AI87" i="1"/>
  <c r="AG87" i="1"/>
  <c r="AE87" i="1"/>
  <c r="AC87" i="1"/>
  <c r="Y87" i="1"/>
  <c r="W87" i="1"/>
  <c r="U87" i="1"/>
  <c r="S87" i="1"/>
  <c r="Q87" i="1"/>
  <c r="CP86" i="1"/>
  <c r="CI86" i="1"/>
  <c r="CG86" i="1"/>
  <c r="CE86" i="1"/>
  <c r="CC86" i="1"/>
  <c r="CA86" i="1"/>
  <c r="BY86" i="1"/>
  <c r="BW86" i="1"/>
  <c r="BU86" i="1"/>
  <c r="BS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O86" i="1"/>
  <c r="AM86" i="1"/>
  <c r="AI86" i="1"/>
  <c r="AG86" i="1"/>
  <c r="AE86" i="1"/>
  <c r="AC86" i="1"/>
  <c r="Y86" i="1"/>
  <c r="W86" i="1"/>
  <c r="U86" i="1"/>
  <c r="S86" i="1"/>
  <c r="Q86" i="1"/>
  <c r="CP85" i="1"/>
  <c r="CI85" i="1"/>
  <c r="CG85" i="1"/>
  <c r="CE85" i="1"/>
  <c r="CC85" i="1"/>
  <c r="CA85" i="1"/>
  <c r="BY85" i="1"/>
  <c r="BW85" i="1"/>
  <c r="BU85" i="1"/>
  <c r="BS85" i="1"/>
  <c r="BO85" i="1"/>
  <c r="BM85" i="1"/>
  <c r="BK85" i="1"/>
  <c r="BI85" i="1"/>
  <c r="BG85" i="1"/>
  <c r="BE85" i="1"/>
  <c r="AI85" i="1"/>
  <c r="AG85" i="1"/>
  <c r="AE85" i="1"/>
  <c r="AA85" i="1"/>
  <c r="Y85" i="1"/>
  <c r="W85" i="1"/>
  <c r="U85" i="1"/>
  <c r="S85" i="1"/>
  <c r="Q85" i="1"/>
  <c r="CP84" i="1"/>
  <c r="CI84" i="1"/>
  <c r="CG84" i="1"/>
  <c r="CE84" i="1"/>
  <c r="CC84" i="1"/>
  <c r="CA84" i="1"/>
  <c r="BY84" i="1"/>
  <c r="BW84" i="1"/>
  <c r="BU84" i="1"/>
  <c r="BS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O84" i="1"/>
  <c r="AM84" i="1"/>
  <c r="AI84" i="1"/>
  <c r="AG84" i="1"/>
  <c r="AE84" i="1"/>
  <c r="AC84" i="1"/>
  <c r="Y84" i="1"/>
  <c r="W84" i="1"/>
  <c r="U84" i="1"/>
  <c r="S84" i="1"/>
  <c r="Q84" i="1"/>
  <c r="CP83" i="1"/>
  <c r="CI83" i="1"/>
  <c r="CG83" i="1"/>
  <c r="CE83" i="1"/>
  <c r="CC83" i="1"/>
  <c r="CA83" i="1"/>
  <c r="BY83" i="1"/>
  <c r="BW83" i="1"/>
  <c r="BU83" i="1"/>
  <c r="BS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O83" i="1"/>
  <c r="AM83" i="1"/>
  <c r="AI83" i="1"/>
  <c r="AG83" i="1"/>
  <c r="AE83" i="1"/>
  <c r="AC83" i="1"/>
  <c r="Y83" i="1"/>
  <c r="W83" i="1"/>
  <c r="U83" i="1"/>
  <c r="S83" i="1"/>
  <c r="Q83" i="1"/>
  <c r="EI82" i="1"/>
  <c r="EH82" i="1"/>
  <c r="CP82" i="1"/>
  <c r="CI82" i="1"/>
  <c r="CG82" i="1"/>
  <c r="CE82" i="1"/>
  <c r="CC82" i="1"/>
  <c r="CA82" i="1"/>
  <c r="BY82" i="1"/>
  <c r="BW82" i="1"/>
  <c r="BU82" i="1"/>
  <c r="BS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O82" i="1"/>
  <c r="AM82" i="1"/>
  <c r="AI82" i="1"/>
  <c r="AG82" i="1"/>
  <c r="AE82" i="1"/>
  <c r="AC82" i="1"/>
  <c r="Y82" i="1"/>
  <c r="W82" i="1"/>
  <c r="U82" i="1"/>
  <c r="S82" i="1"/>
  <c r="Q82" i="1"/>
  <c r="CO81" i="1"/>
  <c r="CN81" i="1"/>
  <c r="CM81" i="1"/>
  <c r="CL81" i="1"/>
  <c r="CK81" i="1"/>
  <c r="CJ81" i="1"/>
  <c r="CH81" i="1"/>
  <c r="CF81" i="1"/>
  <c r="CD81" i="1"/>
  <c r="CB81" i="1"/>
  <c r="BZ81" i="1"/>
  <c r="BX81" i="1"/>
  <c r="BV81" i="1"/>
  <c r="BT81" i="1"/>
  <c r="BR81" i="1"/>
  <c r="BQ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Q81" i="1"/>
  <c r="AP81" i="1"/>
  <c r="AN81" i="1"/>
  <c r="AL81" i="1"/>
  <c r="AH81" i="1"/>
  <c r="AD81" i="1"/>
  <c r="AB81" i="1"/>
  <c r="Z81" i="1"/>
  <c r="X81" i="1"/>
  <c r="T81" i="1"/>
  <c r="R81" i="1"/>
  <c r="P81" i="1"/>
  <c r="CP80" i="1"/>
  <c r="CI80" i="1"/>
  <c r="CG80" i="1"/>
  <c r="CE80" i="1"/>
  <c r="CA80" i="1"/>
  <c r="BY80" i="1"/>
  <c r="BW80" i="1"/>
  <c r="BU80" i="1"/>
  <c r="BS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O80" i="1"/>
  <c r="AM80" i="1"/>
  <c r="AI80" i="1"/>
  <c r="AG80" i="1"/>
  <c r="AE80" i="1"/>
  <c r="AC80" i="1"/>
  <c r="Y80" i="1"/>
  <c r="W80" i="1"/>
  <c r="U80" i="1"/>
  <c r="S80" i="1"/>
  <c r="Q80" i="1"/>
  <c r="CP79" i="1"/>
  <c r="CI79" i="1"/>
  <c r="CG79" i="1"/>
  <c r="CE79" i="1"/>
  <c r="CC79" i="1"/>
  <c r="CA79" i="1"/>
  <c r="BY79" i="1"/>
  <c r="BW79" i="1"/>
  <c r="BU79" i="1"/>
  <c r="BS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O79" i="1"/>
  <c r="AM79" i="1"/>
  <c r="AI79" i="1"/>
  <c r="AG79" i="1"/>
  <c r="AE79" i="1"/>
  <c r="AC79" i="1"/>
  <c r="Y79" i="1"/>
  <c r="W79" i="1"/>
  <c r="U79" i="1"/>
  <c r="S79" i="1"/>
  <c r="Q79" i="1"/>
  <c r="CP78" i="1"/>
  <c r="CI78" i="1"/>
  <c r="CG78" i="1"/>
  <c r="CE78" i="1"/>
  <c r="CC78" i="1"/>
  <c r="CA78" i="1"/>
  <c r="BY78" i="1"/>
  <c r="BW78" i="1"/>
  <c r="BS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O78" i="1"/>
  <c r="AM78" i="1"/>
  <c r="AI78" i="1"/>
  <c r="AG78" i="1"/>
  <c r="AE78" i="1"/>
  <c r="AC78" i="1"/>
  <c r="Y78" i="1"/>
  <c r="W78" i="1"/>
  <c r="U78" i="1"/>
  <c r="S78" i="1"/>
  <c r="Q78" i="1"/>
  <c r="CP77" i="1"/>
  <c r="CI77" i="1"/>
  <c r="CG77" i="1"/>
  <c r="CE77" i="1"/>
  <c r="CC77" i="1"/>
  <c r="CA77" i="1"/>
  <c r="BY77" i="1"/>
  <c r="BW77" i="1"/>
  <c r="BU77" i="1"/>
  <c r="BS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O77" i="1"/>
  <c r="AM77" i="1"/>
  <c r="AI77" i="1"/>
  <c r="AG77" i="1"/>
  <c r="AE77" i="1"/>
  <c r="AC77" i="1"/>
  <c r="Y77" i="1"/>
  <c r="W77" i="1"/>
  <c r="U77" i="1"/>
  <c r="S77" i="1"/>
  <c r="Q77" i="1"/>
  <c r="CO76" i="1"/>
  <c r="CN76" i="1"/>
  <c r="CM76" i="1"/>
  <c r="CL76" i="1"/>
  <c r="CK76" i="1"/>
  <c r="CJ76" i="1"/>
  <c r="CH76" i="1"/>
  <c r="CF76" i="1"/>
  <c r="CD76" i="1"/>
  <c r="CB76" i="1"/>
  <c r="BZ76" i="1"/>
  <c r="BX76" i="1"/>
  <c r="BV76" i="1"/>
  <c r="BT76" i="1"/>
  <c r="BR76" i="1"/>
  <c r="BQ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Q76" i="1"/>
  <c r="AP76" i="1"/>
  <c r="AN76" i="1"/>
  <c r="AL76" i="1"/>
  <c r="AH76" i="1"/>
  <c r="AF76" i="1"/>
  <c r="AD76" i="1"/>
  <c r="AB76" i="1"/>
  <c r="AA76" i="1"/>
  <c r="Z76" i="1"/>
  <c r="X76" i="1"/>
  <c r="V76" i="1"/>
  <c r="T76" i="1"/>
  <c r="R76" i="1"/>
  <c r="P76" i="1"/>
  <c r="CP75" i="1"/>
  <c r="CI75" i="1"/>
  <c r="CI74" i="1" s="1"/>
  <c r="CG75" i="1"/>
  <c r="CG74" i="1" s="1"/>
  <c r="CE75" i="1"/>
  <c r="CE74" i="1" s="1"/>
  <c r="CC75" i="1"/>
  <c r="CC74" i="1" s="1"/>
  <c r="CA75" i="1"/>
  <c r="CA74" i="1" s="1"/>
  <c r="BY75" i="1"/>
  <c r="BY74" i="1" s="1"/>
  <c r="BW75" i="1"/>
  <c r="BW74" i="1" s="1"/>
  <c r="BU75" i="1"/>
  <c r="BU74" i="1" s="1"/>
  <c r="BS75" i="1"/>
  <c r="BS74" i="1" s="1"/>
  <c r="BO75" i="1"/>
  <c r="BO74" i="1" s="1"/>
  <c r="BM75" i="1"/>
  <c r="BM74" i="1" s="1"/>
  <c r="BK75" i="1"/>
  <c r="BK74" i="1" s="1"/>
  <c r="BI75" i="1"/>
  <c r="BI74" i="1" s="1"/>
  <c r="BG75" i="1"/>
  <c r="BG74" i="1" s="1"/>
  <c r="BE75" i="1"/>
  <c r="BE74" i="1" s="1"/>
  <c r="BC75" i="1"/>
  <c r="BC74" i="1" s="1"/>
  <c r="BA75" i="1"/>
  <c r="BA74" i="1" s="1"/>
  <c r="AY75" i="1"/>
  <c r="AY74" i="1" s="1"/>
  <c r="AW75" i="1"/>
  <c r="AW74" i="1" s="1"/>
  <c r="AU75" i="1"/>
  <c r="AU74" i="1" s="1"/>
  <c r="AS75" i="1"/>
  <c r="AS74" i="1" s="1"/>
  <c r="AO75" i="1"/>
  <c r="AO74" i="1" s="1"/>
  <c r="AM75" i="1"/>
  <c r="AM74" i="1" s="1"/>
  <c r="AI75" i="1"/>
  <c r="AI74" i="1" s="1"/>
  <c r="AG75" i="1"/>
  <c r="AG74" i="1" s="1"/>
  <c r="AE75" i="1"/>
  <c r="AE74" i="1" s="1"/>
  <c r="AC75" i="1"/>
  <c r="AC74" i="1" s="1"/>
  <c r="Y75" i="1"/>
  <c r="Y74" i="1" s="1"/>
  <c r="W75" i="1"/>
  <c r="W74" i="1" s="1"/>
  <c r="U75" i="1"/>
  <c r="U74" i="1" s="1"/>
  <c r="S75" i="1"/>
  <c r="S74" i="1" s="1"/>
  <c r="Q75" i="1"/>
  <c r="Q74" i="1" s="1"/>
  <c r="CO74" i="1"/>
  <c r="CN74" i="1"/>
  <c r="CM74" i="1"/>
  <c r="CL74" i="1"/>
  <c r="CK74" i="1"/>
  <c r="CJ74" i="1"/>
  <c r="CH74" i="1"/>
  <c r="CF74" i="1"/>
  <c r="CD74" i="1"/>
  <c r="CB74" i="1"/>
  <c r="BZ74" i="1"/>
  <c r="BX74" i="1"/>
  <c r="BV74" i="1"/>
  <c r="BT74" i="1"/>
  <c r="BR74" i="1"/>
  <c r="BQ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Q74" i="1"/>
  <c r="AP74" i="1"/>
  <c r="AN74" i="1"/>
  <c r="AL74" i="1"/>
  <c r="AH74" i="1"/>
  <c r="AF74" i="1"/>
  <c r="AD74" i="1"/>
  <c r="AB74" i="1"/>
  <c r="AA74" i="1"/>
  <c r="Z74" i="1"/>
  <c r="X74" i="1"/>
  <c r="V74" i="1"/>
  <c r="T74" i="1"/>
  <c r="R74" i="1"/>
  <c r="P74" i="1"/>
  <c r="CI73" i="1"/>
  <c r="CG73" i="1"/>
  <c r="CE73" i="1"/>
  <c r="CC73" i="1"/>
  <c r="CC71" i="1" s="1"/>
  <c r="CA73" i="1"/>
  <c r="BY73" i="1"/>
  <c r="BW73" i="1"/>
  <c r="BU73" i="1"/>
  <c r="BU71" i="1" s="1"/>
  <c r="BS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O73" i="1"/>
  <c r="AM73" i="1"/>
  <c r="AI73" i="1"/>
  <c r="AG73" i="1"/>
  <c r="AE73" i="1"/>
  <c r="AC73" i="1"/>
  <c r="Y73" i="1"/>
  <c r="W73" i="1"/>
  <c r="U73" i="1"/>
  <c r="R73" i="1"/>
  <c r="S73" i="1" s="1"/>
  <c r="Q73" i="1"/>
  <c r="CI72" i="1"/>
  <c r="CG72" i="1"/>
  <c r="CE72" i="1"/>
  <c r="CE71" i="1" s="1"/>
  <c r="CA72" i="1"/>
  <c r="BY72" i="1"/>
  <c r="BY71" i="1" s="1"/>
  <c r="BW72" i="1"/>
  <c r="BS72" i="1"/>
  <c r="BO72" i="1"/>
  <c r="BO71" i="1" s="1"/>
  <c r="BM72" i="1"/>
  <c r="BM71" i="1" s="1"/>
  <c r="BK72" i="1"/>
  <c r="BK71" i="1" s="1"/>
  <c r="BI72" i="1"/>
  <c r="BI71" i="1" s="1"/>
  <c r="BG72" i="1"/>
  <c r="BE72" i="1"/>
  <c r="BC72" i="1"/>
  <c r="BA72" i="1"/>
  <c r="BA71" i="1" s="1"/>
  <c r="AY72" i="1"/>
  <c r="AY71" i="1" s="1"/>
  <c r="AW72" i="1"/>
  <c r="AU72" i="1"/>
  <c r="AS72" i="1"/>
  <c r="AO72" i="1"/>
  <c r="AM72" i="1"/>
  <c r="AM71" i="1" s="1"/>
  <c r="AI72" i="1"/>
  <c r="AI71" i="1" s="1"/>
  <c r="AG72" i="1"/>
  <c r="AE72" i="1"/>
  <c r="AC72" i="1"/>
  <c r="Y72" i="1"/>
  <c r="V72" i="1"/>
  <c r="U72" i="1"/>
  <c r="U71" i="1" s="1"/>
  <c r="S72" i="1"/>
  <c r="Q72" i="1"/>
  <c r="CO71" i="1"/>
  <c r="CN71" i="1"/>
  <c r="CM71" i="1"/>
  <c r="CL71" i="1"/>
  <c r="CK71" i="1"/>
  <c r="CJ71" i="1"/>
  <c r="CH71" i="1"/>
  <c r="CF71" i="1"/>
  <c r="CD71" i="1"/>
  <c r="CB71" i="1"/>
  <c r="BZ71" i="1"/>
  <c r="BX71" i="1"/>
  <c r="BV71" i="1"/>
  <c r="BT71" i="1"/>
  <c r="BR71" i="1"/>
  <c r="BQ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Q71" i="1"/>
  <c r="AP71" i="1"/>
  <c r="AN71" i="1"/>
  <c r="AL71" i="1"/>
  <c r="AH71" i="1"/>
  <c r="AF71" i="1"/>
  <c r="AD71" i="1"/>
  <c r="AC71" i="1"/>
  <c r="AB71" i="1"/>
  <c r="AA71" i="1"/>
  <c r="Z71" i="1"/>
  <c r="X71" i="1"/>
  <c r="T71" i="1"/>
  <c r="P71" i="1"/>
  <c r="CP70" i="1"/>
  <c r="CI70" i="1"/>
  <c r="CG70" i="1"/>
  <c r="CE70" i="1"/>
  <c r="CC70" i="1"/>
  <c r="CA70" i="1"/>
  <c r="BY70" i="1"/>
  <c r="BW70" i="1"/>
  <c r="BS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O70" i="1"/>
  <c r="AM70" i="1"/>
  <c r="AI70" i="1"/>
  <c r="AG70" i="1"/>
  <c r="AE70" i="1"/>
  <c r="AC70" i="1"/>
  <c r="Y70" i="1"/>
  <c r="W70" i="1"/>
  <c r="U70" i="1"/>
  <c r="S70" i="1"/>
  <c r="Q70" i="1"/>
  <c r="CP69" i="1"/>
  <c r="CI69" i="1"/>
  <c r="CG69" i="1"/>
  <c r="CE69" i="1"/>
  <c r="CC69" i="1"/>
  <c r="CA69" i="1"/>
  <c r="BY69" i="1"/>
  <c r="BW69" i="1"/>
  <c r="BS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O69" i="1"/>
  <c r="AM69" i="1"/>
  <c r="AI69" i="1"/>
  <c r="AG69" i="1"/>
  <c r="AE69" i="1"/>
  <c r="AC69" i="1"/>
  <c r="Y69" i="1"/>
  <c r="W69" i="1"/>
  <c r="U69" i="1"/>
  <c r="S69" i="1"/>
  <c r="Q69" i="1"/>
  <c r="CI68" i="1"/>
  <c r="CG68" i="1"/>
  <c r="CE68" i="1"/>
  <c r="CC68" i="1"/>
  <c r="CA68" i="1"/>
  <c r="BY68" i="1"/>
  <c r="BW68" i="1"/>
  <c r="BS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O68" i="1"/>
  <c r="AM68" i="1"/>
  <c r="AI68" i="1"/>
  <c r="AG68" i="1"/>
  <c r="AE68" i="1"/>
  <c r="AC68" i="1"/>
  <c r="Y68" i="1"/>
  <c r="W68" i="1"/>
  <c r="T68" i="1"/>
  <c r="CP68" i="1" s="1"/>
  <c r="S68" i="1"/>
  <c r="Q68" i="1"/>
  <c r="CO67" i="1"/>
  <c r="CN67" i="1"/>
  <c r="CM67" i="1"/>
  <c r="CL67" i="1"/>
  <c r="CK67" i="1"/>
  <c r="CJ67" i="1"/>
  <c r="CH67" i="1"/>
  <c r="CF67" i="1"/>
  <c r="CD67" i="1"/>
  <c r="CB67" i="1"/>
  <c r="BZ67" i="1"/>
  <c r="BX67" i="1"/>
  <c r="BV67" i="1"/>
  <c r="BU67" i="1"/>
  <c r="BT67" i="1"/>
  <c r="BR67" i="1"/>
  <c r="BQ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Q67" i="1"/>
  <c r="AP67" i="1"/>
  <c r="AN67" i="1"/>
  <c r="AL67" i="1"/>
  <c r="AH67" i="1"/>
  <c r="AF67" i="1"/>
  <c r="AD67" i="1"/>
  <c r="AB67" i="1"/>
  <c r="AA67" i="1"/>
  <c r="Z67" i="1"/>
  <c r="X67" i="1"/>
  <c r="V67" i="1"/>
  <c r="R67" i="1"/>
  <c r="P67" i="1"/>
  <c r="CP66" i="1"/>
  <c r="CK66" i="1"/>
  <c r="CK64" i="1" s="1"/>
  <c r="CI66" i="1"/>
  <c r="CG66" i="1"/>
  <c r="CE66" i="1"/>
  <c r="CC66" i="1"/>
  <c r="CA66" i="1"/>
  <c r="BY66" i="1"/>
  <c r="BW66" i="1"/>
  <c r="BU66" i="1"/>
  <c r="BS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O66" i="1"/>
  <c r="AM66" i="1"/>
  <c r="AI66" i="1"/>
  <c r="AI64" i="1" s="1"/>
  <c r="AG66" i="1"/>
  <c r="AE66" i="1"/>
  <c r="AC66" i="1"/>
  <c r="Y66" i="1"/>
  <c r="W66" i="1"/>
  <c r="U66" i="1"/>
  <c r="S66" i="1"/>
  <c r="Q66" i="1"/>
  <c r="CP65" i="1"/>
  <c r="CI65" i="1"/>
  <c r="CG65" i="1"/>
  <c r="CE65" i="1"/>
  <c r="CC65" i="1"/>
  <c r="CA65" i="1"/>
  <c r="BY65" i="1"/>
  <c r="BW65" i="1"/>
  <c r="BU65" i="1"/>
  <c r="BS65" i="1"/>
  <c r="BO65" i="1"/>
  <c r="BM65" i="1"/>
  <c r="BK65" i="1"/>
  <c r="BI65" i="1"/>
  <c r="BG65" i="1"/>
  <c r="BE65" i="1"/>
  <c r="BC65" i="1"/>
  <c r="BA65" i="1"/>
  <c r="BA64" i="1" s="1"/>
  <c r="AY65" i="1"/>
  <c r="AW65" i="1"/>
  <c r="AU65" i="1"/>
  <c r="AS65" i="1"/>
  <c r="AO65" i="1"/>
  <c r="AM65" i="1"/>
  <c r="AI65" i="1"/>
  <c r="AG65" i="1"/>
  <c r="AE65" i="1"/>
  <c r="AC65" i="1"/>
  <c r="Y65" i="1"/>
  <c r="W65" i="1"/>
  <c r="U65" i="1"/>
  <c r="S65" i="1"/>
  <c r="Q65" i="1"/>
  <c r="CO64" i="1"/>
  <c r="CN64" i="1"/>
  <c r="CM64" i="1"/>
  <c r="CL64" i="1"/>
  <c r="CJ64" i="1"/>
  <c r="CH64" i="1"/>
  <c r="CF64" i="1"/>
  <c r="CD64" i="1"/>
  <c r="CB64" i="1"/>
  <c r="BZ64" i="1"/>
  <c r="BX64" i="1"/>
  <c r="BV64" i="1"/>
  <c r="BT64" i="1"/>
  <c r="BR64" i="1"/>
  <c r="BQ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Q64" i="1"/>
  <c r="AP64" i="1"/>
  <c r="AN64" i="1"/>
  <c r="AL64" i="1"/>
  <c r="AH64" i="1"/>
  <c r="AF64" i="1"/>
  <c r="AD64" i="1"/>
  <c r="AB64" i="1"/>
  <c r="AA64" i="1"/>
  <c r="Z64" i="1"/>
  <c r="X64" i="1"/>
  <c r="V64" i="1"/>
  <c r="T64" i="1"/>
  <c r="R64" i="1"/>
  <c r="P64" i="1"/>
  <c r="CP63" i="1"/>
  <c r="CI63" i="1"/>
  <c r="CG63" i="1"/>
  <c r="CE63" i="1"/>
  <c r="CC63" i="1"/>
  <c r="CC61" i="1" s="1"/>
  <c r="CA63" i="1"/>
  <c r="BY63" i="1"/>
  <c r="BW63" i="1"/>
  <c r="BU63" i="1"/>
  <c r="BU61" i="1" s="1"/>
  <c r="BS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O63" i="1"/>
  <c r="AM63" i="1"/>
  <c r="AI63" i="1"/>
  <c r="AG63" i="1"/>
  <c r="AE63" i="1"/>
  <c r="AC63" i="1"/>
  <c r="Y63" i="1"/>
  <c r="W63" i="1"/>
  <c r="U63" i="1"/>
  <c r="S63" i="1"/>
  <c r="Q63" i="1"/>
  <c r="CI62" i="1"/>
  <c r="CG62" i="1"/>
  <c r="CE62" i="1"/>
  <c r="CA62" i="1"/>
  <c r="BX62" i="1"/>
  <c r="BY62" i="1" s="1"/>
  <c r="BW62" i="1"/>
  <c r="BS62" i="1"/>
  <c r="BS61" i="1" s="1"/>
  <c r="BO62" i="1"/>
  <c r="BO61" i="1" s="1"/>
  <c r="BM62" i="1"/>
  <c r="BM61" i="1" s="1"/>
  <c r="BK62" i="1"/>
  <c r="BI62" i="1"/>
  <c r="BG62" i="1"/>
  <c r="BE62" i="1"/>
  <c r="BE61" i="1" s="1"/>
  <c r="BC62" i="1"/>
  <c r="BC61" i="1" s="1"/>
  <c r="BA62" i="1"/>
  <c r="BA61" i="1" s="1"/>
  <c r="AY62" i="1"/>
  <c r="AW62" i="1"/>
  <c r="AU62" i="1"/>
  <c r="AU61" i="1" s="1"/>
  <c r="AS62" i="1"/>
  <c r="AS61" i="1" s="1"/>
  <c r="AO62" i="1"/>
  <c r="AM62" i="1"/>
  <c r="AH62" i="1"/>
  <c r="AG62" i="1"/>
  <c r="AE62" i="1"/>
  <c r="AC62" i="1"/>
  <c r="AC61" i="1" s="1"/>
  <c r="Y62" i="1"/>
  <c r="W62" i="1"/>
  <c r="W61" i="1" s="1"/>
  <c r="U62" i="1"/>
  <c r="S62" i="1"/>
  <c r="Q62" i="1"/>
  <c r="CO61" i="1"/>
  <c r="CN61" i="1"/>
  <c r="CM61" i="1"/>
  <c r="CL61" i="1"/>
  <c r="CK61" i="1"/>
  <c r="CJ61" i="1"/>
  <c r="CH61" i="1"/>
  <c r="CF61" i="1"/>
  <c r="CD61" i="1"/>
  <c r="CB61" i="1"/>
  <c r="BZ61" i="1"/>
  <c r="BX61" i="1"/>
  <c r="BV61" i="1"/>
  <c r="BT61" i="1"/>
  <c r="BR61" i="1"/>
  <c r="BQ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Q61" i="1"/>
  <c r="AP61" i="1"/>
  <c r="AN61" i="1"/>
  <c r="AM61" i="1"/>
  <c r="AL61" i="1"/>
  <c r="AF61" i="1"/>
  <c r="AD61" i="1"/>
  <c r="AB61" i="1"/>
  <c r="AA61" i="1"/>
  <c r="Z61" i="1"/>
  <c r="X61" i="1"/>
  <c r="V61" i="1"/>
  <c r="T61" i="1"/>
  <c r="R61" i="1"/>
  <c r="P61" i="1"/>
  <c r="CP60" i="1"/>
  <c r="CI60" i="1"/>
  <c r="CG60" i="1"/>
  <c r="CE60" i="1"/>
  <c r="CC60" i="1"/>
  <c r="CA60" i="1"/>
  <c r="BY60" i="1"/>
  <c r="BW60" i="1"/>
  <c r="BU60" i="1"/>
  <c r="BS60" i="1"/>
  <c r="BO60" i="1"/>
  <c r="BM60" i="1"/>
  <c r="BK60" i="1"/>
  <c r="BI60" i="1"/>
  <c r="BG60" i="1"/>
  <c r="BE60" i="1"/>
  <c r="AI60" i="1"/>
  <c r="AG60" i="1"/>
  <c r="AE60" i="1"/>
  <c r="AA60" i="1"/>
  <c r="Y60" i="1"/>
  <c r="W60" i="1"/>
  <c r="U60" i="1"/>
  <c r="S60" i="1"/>
  <c r="Q60" i="1"/>
  <c r="CP59" i="1"/>
  <c r="CI59" i="1"/>
  <c r="CG59" i="1"/>
  <c r="CE59" i="1"/>
  <c r="CC59" i="1"/>
  <c r="CA59" i="1"/>
  <c r="BY59" i="1"/>
  <c r="BW59" i="1"/>
  <c r="BU59" i="1"/>
  <c r="BS59" i="1"/>
  <c r="BO59" i="1"/>
  <c r="BM59" i="1"/>
  <c r="BK59" i="1"/>
  <c r="BI59" i="1"/>
  <c r="BG59" i="1"/>
  <c r="BE59" i="1"/>
  <c r="AI59" i="1"/>
  <c r="AG59" i="1"/>
  <c r="AE59" i="1"/>
  <c r="AA59" i="1"/>
  <c r="Y59" i="1"/>
  <c r="W59" i="1"/>
  <c r="U59" i="1"/>
  <c r="S59" i="1"/>
  <c r="Q59" i="1"/>
  <c r="CP58" i="1"/>
  <c r="CI58" i="1"/>
  <c r="CG58" i="1"/>
  <c r="CE58" i="1"/>
  <c r="CA58" i="1"/>
  <c r="BY58" i="1"/>
  <c r="BW58" i="1"/>
  <c r="BS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O58" i="1"/>
  <c r="AM58" i="1"/>
  <c r="AI58" i="1"/>
  <c r="AG58" i="1"/>
  <c r="AE58" i="1"/>
  <c r="AC58" i="1"/>
  <c r="Y58" i="1"/>
  <c r="W58" i="1"/>
  <c r="U58" i="1"/>
  <c r="S58" i="1"/>
  <c r="Q58" i="1"/>
  <c r="CI57" i="1"/>
  <c r="CG57" i="1"/>
  <c r="CE57" i="1"/>
  <c r="CA57" i="1"/>
  <c r="BY57" i="1"/>
  <c r="BW57" i="1"/>
  <c r="BS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O57" i="1"/>
  <c r="AM57" i="1"/>
  <c r="AH57" i="1"/>
  <c r="CP57" i="1" s="1"/>
  <c r="AG57" i="1"/>
  <c r="AE57" i="1"/>
  <c r="AC57" i="1"/>
  <c r="Y57" i="1"/>
  <c r="W57" i="1"/>
  <c r="U57" i="1"/>
  <c r="S57" i="1"/>
  <c r="Q57" i="1"/>
  <c r="CP56" i="1"/>
  <c r="CI56" i="1"/>
  <c r="CG56" i="1"/>
  <c r="CE56" i="1"/>
  <c r="CC56" i="1"/>
  <c r="CA56" i="1"/>
  <c r="BY56" i="1"/>
  <c r="BW56" i="1"/>
  <c r="BU56" i="1"/>
  <c r="BS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O56" i="1"/>
  <c r="AM56" i="1"/>
  <c r="AI56" i="1"/>
  <c r="AG56" i="1"/>
  <c r="AE56" i="1"/>
  <c r="AC56" i="1"/>
  <c r="Y56" i="1"/>
  <c r="W56" i="1"/>
  <c r="U56" i="1"/>
  <c r="S56" i="1"/>
  <c r="Q56" i="1"/>
  <c r="CP55" i="1"/>
  <c r="CI55" i="1"/>
  <c r="CG55" i="1"/>
  <c r="CE55" i="1"/>
  <c r="CC55" i="1"/>
  <c r="CA55" i="1"/>
  <c r="BY55" i="1"/>
  <c r="BW55" i="1"/>
  <c r="BU55" i="1"/>
  <c r="BS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O55" i="1"/>
  <c r="AM55" i="1"/>
  <c r="AI55" i="1"/>
  <c r="AG55" i="1"/>
  <c r="AE55" i="1"/>
  <c r="AC55" i="1"/>
  <c r="Y55" i="1"/>
  <c r="W55" i="1"/>
  <c r="U55" i="1"/>
  <c r="S55" i="1"/>
  <c r="Q55" i="1"/>
  <c r="CP54" i="1"/>
  <c r="CI54" i="1"/>
  <c r="CG54" i="1"/>
  <c r="CE54" i="1"/>
  <c r="CC54" i="1"/>
  <c r="CA54" i="1"/>
  <c r="BY54" i="1"/>
  <c r="BW54" i="1"/>
  <c r="BU54" i="1"/>
  <c r="BS54" i="1"/>
  <c r="BO54" i="1"/>
  <c r="BM54" i="1"/>
  <c r="BK54" i="1"/>
  <c r="BI54" i="1"/>
  <c r="BG54" i="1"/>
  <c r="BE54" i="1"/>
  <c r="BC54" i="1"/>
  <c r="BA54" i="1"/>
  <c r="AY54" i="1"/>
  <c r="AW54" i="1"/>
  <c r="AW49" i="1" s="1"/>
  <c r="AU54" i="1"/>
  <c r="AS54" i="1"/>
  <c r="AO54" i="1"/>
  <c r="AM54" i="1"/>
  <c r="AI54" i="1"/>
  <c r="AG54" i="1"/>
  <c r="AE54" i="1"/>
  <c r="AC54" i="1"/>
  <c r="Y54" i="1"/>
  <c r="W54" i="1"/>
  <c r="U54" i="1"/>
  <c r="S54" i="1"/>
  <c r="Q54" i="1"/>
  <c r="CP53" i="1"/>
  <c r="CI53" i="1"/>
  <c r="CG53" i="1"/>
  <c r="CE53" i="1"/>
  <c r="CC53" i="1"/>
  <c r="CA53" i="1"/>
  <c r="BY53" i="1"/>
  <c r="BW53" i="1"/>
  <c r="BU53" i="1"/>
  <c r="BS53" i="1"/>
  <c r="BO53" i="1"/>
  <c r="BM53" i="1"/>
  <c r="BK53" i="1"/>
  <c r="BI53" i="1"/>
  <c r="BG53" i="1"/>
  <c r="BE53" i="1"/>
  <c r="AI53" i="1"/>
  <c r="AG53" i="1"/>
  <c r="AE53" i="1"/>
  <c r="AA53" i="1"/>
  <c r="Y53" i="1"/>
  <c r="W53" i="1"/>
  <c r="U53" i="1"/>
  <c r="S53" i="1"/>
  <c r="Q53" i="1"/>
  <c r="CP52" i="1"/>
  <c r="CI52" i="1"/>
  <c r="CG52" i="1"/>
  <c r="CE52" i="1"/>
  <c r="CC52" i="1"/>
  <c r="CA52" i="1"/>
  <c r="BY52" i="1"/>
  <c r="BW52" i="1"/>
  <c r="BU52" i="1"/>
  <c r="BS52" i="1"/>
  <c r="BO52" i="1"/>
  <c r="BM52" i="1"/>
  <c r="BK52" i="1"/>
  <c r="BI52" i="1"/>
  <c r="BG52" i="1"/>
  <c r="BE52" i="1"/>
  <c r="AI52" i="1"/>
  <c r="AG52" i="1"/>
  <c r="AE52" i="1"/>
  <c r="AA52" i="1"/>
  <c r="Y52" i="1"/>
  <c r="W52" i="1"/>
  <c r="U52" i="1"/>
  <c r="S52" i="1"/>
  <c r="Q52" i="1"/>
  <c r="CI51" i="1"/>
  <c r="CG51" i="1"/>
  <c r="CE51" i="1"/>
  <c r="CC51" i="1"/>
  <c r="CA51" i="1"/>
  <c r="BY51" i="1"/>
  <c r="BW51" i="1"/>
  <c r="BU51" i="1"/>
  <c r="BS51" i="1"/>
  <c r="BO51" i="1"/>
  <c r="BM51" i="1"/>
  <c r="BK51" i="1"/>
  <c r="BI51" i="1"/>
  <c r="BG51" i="1"/>
  <c r="BE51" i="1"/>
  <c r="AI51" i="1"/>
  <c r="AG51" i="1"/>
  <c r="AD51" i="1"/>
  <c r="CP51" i="1" s="1"/>
  <c r="AA51" i="1"/>
  <c r="Y51" i="1"/>
  <c r="W51" i="1"/>
  <c r="U51" i="1"/>
  <c r="S51" i="1"/>
  <c r="Q51" i="1"/>
  <c r="CP50" i="1"/>
  <c r="CI50" i="1"/>
  <c r="CG50" i="1"/>
  <c r="CE50" i="1"/>
  <c r="CC50" i="1"/>
  <c r="CA50" i="1"/>
  <c r="BY50" i="1"/>
  <c r="BW50" i="1"/>
  <c r="BU50" i="1"/>
  <c r="BS50" i="1"/>
  <c r="BO50" i="1"/>
  <c r="BM50" i="1"/>
  <c r="BK50" i="1"/>
  <c r="BI50" i="1"/>
  <c r="BG50" i="1"/>
  <c r="BE50" i="1"/>
  <c r="AI50" i="1"/>
  <c r="AG50" i="1"/>
  <c r="AE50" i="1"/>
  <c r="AA50" i="1"/>
  <c r="Y50" i="1"/>
  <c r="W50" i="1"/>
  <c r="U50" i="1"/>
  <c r="S50" i="1"/>
  <c r="Q50" i="1"/>
  <c r="CO49" i="1"/>
  <c r="CN49" i="1"/>
  <c r="CM49" i="1"/>
  <c r="CL49" i="1"/>
  <c r="CK49" i="1"/>
  <c r="CJ49" i="1"/>
  <c r="CH49" i="1"/>
  <c r="CF49" i="1"/>
  <c r="CD49" i="1"/>
  <c r="CB49" i="1"/>
  <c r="BZ49" i="1"/>
  <c r="BX49" i="1"/>
  <c r="BV49" i="1"/>
  <c r="BT49" i="1"/>
  <c r="BR49" i="1"/>
  <c r="BQ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Q49" i="1"/>
  <c r="AP49" i="1"/>
  <c r="AN49" i="1"/>
  <c r="AL49" i="1"/>
  <c r="AF49" i="1"/>
  <c r="AB49" i="1"/>
  <c r="Z49" i="1"/>
  <c r="X49" i="1"/>
  <c r="V49" i="1"/>
  <c r="T49" i="1"/>
  <c r="R49" i="1"/>
  <c r="P49" i="1"/>
  <c r="CP48" i="1"/>
  <c r="CI48" i="1"/>
  <c r="CG48" i="1"/>
  <c r="CE48" i="1"/>
  <c r="CC48" i="1"/>
  <c r="CA48" i="1"/>
  <c r="BY48" i="1"/>
  <c r="BW48" i="1"/>
  <c r="BU48" i="1"/>
  <c r="BS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O48" i="1"/>
  <c r="AM48" i="1"/>
  <c r="AI48" i="1"/>
  <c r="AG48" i="1"/>
  <c r="AE48" i="1"/>
  <c r="AC48" i="1"/>
  <c r="Y48" i="1"/>
  <c r="W48" i="1"/>
  <c r="U48" i="1"/>
  <c r="S48" i="1"/>
  <c r="Q48" i="1"/>
  <c r="CP47" i="1"/>
  <c r="CI47" i="1"/>
  <c r="CG47" i="1"/>
  <c r="CE47" i="1"/>
  <c r="CC47" i="1"/>
  <c r="CA47" i="1"/>
  <c r="BY47" i="1"/>
  <c r="BW47" i="1"/>
  <c r="BW46" i="1" s="1"/>
  <c r="BU47" i="1"/>
  <c r="BS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O47" i="1"/>
  <c r="AM47" i="1"/>
  <c r="AI47" i="1"/>
  <c r="AG47" i="1"/>
  <c r="AE47" i="1"/>
  <c r="AC47" i="1"/>
  <c r="Y47" i="1"/>
  <c r="W47" i="1"/>
  <c r="U47" i="1"/>
  <c r="S47" i="1"/>
  <c r="Q47" i="1"/>
  <c r="CO46" i="1"/>
  <c r="CN46" i="1"/>
  <c r="CM46" i="1"/>
  <c r="CL46" i="1"/>
  <c r="CK46" i="1"/>
  <c r="CJ46" i="1"/>
  <c r="CH46" i="1"/>
  <c r="CF46" i="1"/>
  <c r="CD46" i="1"/>
  <c r="CB46" i="1"/>
  <c r="BZ46" i="1"/>
  <c r="BX46" i="1"/>
  <c r="BV46" i="1"/>
  <c r="BT46" i="1"/>
  <c r="BR46" i="1"/>
  <c r="BQ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Q46" i="1"/>
  <c r="AP46" i="1"/>
  <c r="AN46" i="1"/>
  <c r="AL46" i="1"/>
  <c r="AH46" i="1"/>
  <c r="AF46" i="1"/>
  <c r="AD46" i="1"/>
  <c r="AB46" i="1"/>
  <c r="AA46" i="1"/>
  <c r="Z46" i="1"/>
  <c r="X46" i="1"/>
  <c r="V46" i="1"/>
  <c r="T46" i="1"/>
  <c r="R46" i="1"/>
  <c r="P46" i="1"/>
  <c r="CP45" i="1"/>
  <c r="CI45" i="1"/>
  <c r="CI44" i="1" s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O45" i="1"/>
  <c r="BO44" i="1" s="1"/>
  <c r="BM45" i="1"/>
  <c r="BM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W44" i="1" s="1"/>
  <c r="AU45" i="1"/>
  <c r="AU44" i="1" s="1"/>
  <c r="AS45" i="1"/>
  <c r="AO45" i="1"/>
  <c r="AO44" i="1" s="1"/>
  <c r="AM45" i="1"/>
  <c r="AI45" i="1"/>
  <c r="AI44" i="1" s="1"/>
  <c r="AG45" i="1"/>
  <c r="AG44" i="1" s="1"/>
  <c r="AE45" i="1"/>
  <c r="AE44" i="1" s="1"/>
  <c r="AC45" i="1"/>
  <c r="AC44" i="1" s="1"/>
  <c r="Y45" i="1"/>
  <c r="Y44" i="1" s="1"/>
  <c r="W45" i="1"/>
  <c r="W44" i="1" s="1"/>
  <c r="U45" i="1"/>
  <c r="S45" i="1"/>
  <c r="Q45" i="1"/>
  <c r="Q44" i="1" s="1"/>
  <c r="CO44" i="1"/>
  <c r="CN44" i="1"/>
  <c r="CM44" i="1"/>
  <c r="CL44" i="1"/>
  <c r="CK44" i="1"/>
  <c r="CJ44" i="1"/>
  <c r="CH44" i="1"/>
  <c r="CF44" i="1"/>
  <c r="CD44" i="1"/>
  <c r="CB44" i="1"/>
  <c r="BZ44" i="1"/>
  <c r="BX44" i="1"/>
  <c r="BV44" i="1"/>
  <c r="BT44" i="1"/>
  <c r="BR44" i="1"/>
  <c r="BQ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S44" i="1"/>
  <c r="AR44" i="1"/>
  <c r="AQ44" i="1"/>
  <c r="AP44" i="1"/>
  <c r="AN44" i="1"/>
  <c r="AM44" i="1"/>
  <c r="AL44" i="1"/>
  <c r="AH44" i="1"/>
  <c r="AF44" i="1"/>
  <c r="AD44" i="1"/>
  <c r="AB44" i="1"/>
  <c r="AA44" i="1"/>
  <c r="Z44" i="1"/>
  <c r="X44" i="1"/>
  <c r="V44" i="1"/>
  <c r="T44" i="1"/>
  <c r="S44" i="1"/>
  <c r="R44" i="1"/>
  <c r="P44" i="1"/>
  <c r="CP43" i="1"/>
  <c r="CI43" i="1"/>
  <c r="CG43" i="1"/>
  <c r="CE43" i="1"/>
  <c r="CC43" i="1"/>
  <c r="CA43" i="1"/>
  <c r="BY43" i="1"/>
  <c r="BW43" i="1"/>
  <c r="BU43" i="1"/>
  <c r="BS43" i="1"/>
  <c r="BS41" i="1" s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O43" i="1"/>
  <c r="AM43" i="1"/>
  <c r="AI43" i="1"/>
  <c r="AG43" i="1"/>
  <c r="AE43" i="1"/>
  <c r="AC43" i="1"/>
  <c r="Y43" i="1"/>
  <c r="W43" i="1"/>
  <c r="U43" i="1"/>
  <c r="S43" i="1"/>
  <c r="Q43" i="1"/>
  <c r="CP42" i="1"/>
  <c r="CP41" i="1" s="1"/>
  <c r="CI42" i="1"/>
  <c r="CI41" i="1" s="1"/>
  <c r="CG42" i="1"/>
  <c r="CE42" i="1"/>
  <c r="CC42" i="1"/>
  <c r="CA42" i="1"/>
  <c r="BY42" i="1"/>
  <c r="BY41" i="1" s="1"/>
  <c r="BW42" i="1"/>
  <c r="BW41" i="1" s="1"/>
  <c r="BU42" i="1"/>
  <c r="BS42" i="1"/>
  <c r="BO42" i="1"/>
  <c r="BM42" i="1"/>
  <c r="BK42" i="1"/>
  <c r="BI42" i="1"/>
  <c r="BI41" i="1" s="1"/>
  <c r="BG42" i="1"/>
  <c r="BE42" i="1"/>
  <c r="BC42" i="1"/>
  <c r="BA42" i="1"/>
  <c r="AY42" i="1"/>
  <c r="AW42" i="1"/>
  <c r="AW41" i="1" s="1"/>
  <c r="AU42" i="1"/>
  <c r="AS42" i="1"/>
  <c r="AO42" i="1"/>
  <c r="AM42" i="1"/>
  <c r="AI42" i="1"/>
  <c r="AG42" i="1"/>
  <c r="AG41" i="1" s="1"/>
  <c r="AE42" i="1"/>
  <c r="AC42" i="1"/>
  <c r="Y42" i="1"/>
  <c r="W42" i="1"/>
  <c r="U42" i="1"/>
  <c r="U41" i="1" s="1"/>
  <c r="S42" i="1"/>
  <c r="S41" i="1" s="1"/>
  <c r="Q42" i="1"/>
  <c r="CO41" i="1"/>
  <c r="CN41" i="1"/>
  <c r="CM41" i="1"/>
  <c r="CL41" i="1"/>
  <c r="CK41" i="1"/>
  <c r="CJ41" i="1"/>
  <c r="CH41" i="1"/>
  <c r="CF41" i="1"/>
  <c r="CD41" i="1"/>
  <c r="CB41" i="1"/>
  <c r="BZ41" i="1"/>
  <c r="BX41" i="1"/>
  <c r="BV41" i="1"/>
  <c r="BT41" i="1"/>
  <c r="BR41" i="1"/>
  <c r="BQ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Q41" i="1"/>
  <c r="AP41" i="1"/>
  <c r="AN41" i="1"/>
  <c r="AL41" i="1"/>
  <c r="AH41" i="1"/>
  <c r="AF41" i="1"/>
  <c r="AD41" i="1"/>
  <c r="AB41" i="1"/>
  <c r="AA41" i="1"/>
  <c r="Z41" i="1"/>
  <c r="X41" i="1"/>
  <c r="V41" i="1"/>
  <c r="T41" i="1"/>
  <c r="R41" i="1"/>
  <c r="P41" i="1"/>
  <c r="CP40" i="1"/>
  <c r="CI40" i="1"/>
  <c r="CG40" i="1"/>
  <c r="CE40" i="1"/>
  <c r="CC40" i="1"/>
  <c r="CA40" i="1"/>
  <c r="BY40" i="1"/>
  <c r="BW40" i="1"/>
  <c r="BU40" i="1"/>
  <c r="BS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O40" i="1"/>
  <c r="AM40" i="1"/>
  <c r="AI40" i="1"/>
  <c r="AG40" i="1"/>
  <c r="AE40" i="1"/>
  <c r="AC40" i="1"/>
  <c r="Y40" i="1"/>
  <c r="W40" i="1"/>
  <c r="U40" i="1"/>
  <c r="S40" i="1"/>
  <c r="Q40" i="1"/>
  <c r="CP39" i="1"/>
  <c r="CI39" i="1"/>
  <c r="CG39" i="1"/>
  <c r="CE39" i="1"/>
  <c r="CC39" i="1"/>
  <c r="CA39" i="1"/>
  <c r="CA37" i="1" s="1"/>
  <c r="BY39" i="1"/>
  <c r="BW39" i="1"/>
  <c r="BU39" i="1"/>
  <c r="BS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O39" i="1"/>
  <c r="AM39" i="1"/>
  <c r="AM37" i="1" s="1"/>
  <c r="AI39" i="1"/>
  <c r="AG39" i="1"/>
  <c r="AE39" i="1"/>
  <c r="AC39" i="1"/>
  <c r="Y39" i="1"/>
  <c r="W39" i="1"/>
  <c r="W37" i="1" s="1"/>
  <c r="U39" i="1"/>
  <c r="S39" i="1"/>
  <c r="Q39" i="1"/>
  <c r="CP38" i="1"/>
  <c r="CI38" i="1"/>
  <c r="CI37" i="1" s="1"/>
  <c r="CG38" i="1"/>
  <c r="CE38" i="1"/>
  <c r="CC38" i="1"/>
  <c r="CA38" i="1"/>
  <c r="BY38" i="1"/>
  <c r="BW38" i="1"/>
  <c r="BW37" i="1" s="1"/>
  <c r="BU38" i="1"/>
  <c r="BS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O38" i="1"/>
  <c r="AM38" i="1"/>
  <c r="AI38" i="1"/>
  <c r="AG38" i="1"/>
  <c r="AE38" i="1"/>
  <c r="AC38" i="1"/>
  <c r="Y38" i="1"/>
  <c r="W38" i="1"/>
  <c r="U38" i="1"/>
  <c r="S38" i="1"/>
  <c r="S37" i="1" s="1"/>
  <c r="Q38" i="1"/>
  <c r="CO37" i="1"/>
  <c r="CN37" i="1"/>
  <c r="CM37" i="1"/>
  <c r="CL37" i="1"/>
  <c r="CK37" i="1"/>
  <c r="CJ37" i="1"/>
  <c r="CH37" i="1"/>
  <c r="CF37" i="1"/>
  <c r="CD37" i="1"/>
  <c r="CB37" i="1"/>
  <c r="BZ37" i="1"/>
  <c r="BX37" i="1"/>
  <c r="BV37" i="1"/>
  <c r="BT37" i="1"/>
  <c r="BR37" i="1"/>
  <c r="BQ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Q37" i="1"/>
  <c r="AP37" i="1"/>
  <c r="AN37" i="1"/>
  <c r="AL37" i="1"/>
  <c r="AH37" i="1"/>
  <c r="AF37" i="1"/>
  <c r="AD37" i="1"/>
  <c r="AB37" i="1"/>
  <c r="AA37" i="1"/>
  <c r="Z37" i="1"/>
  <c r="X37" i="1"/>
  <c r="V37" i="1"/>
  <c r="T37" i="1"/>
  <c r="R37" i="1"/>
  <c r="P37" i="1"/>
  <c r="CP36" i="1"/>
  <c r="CI36" i="1"/>
  <c r="CI35" i="1" s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O36" i="1"/>
  <c r="BO35" i="1" s="1"/>
  <c r="BM36" i="1"/>
  <c r="BM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O36" i="1"/>
  <c r="AO35" i="1" s="1"/>
  <c r="AM36" i="1"/>
  <c r="AM35" i="1" s="1"/>
  <c r="AI36" i="1"/>
  <c r="AI35" i="1" s="1"/>
  <c r="AG36" i="1"/>
  <c r="AG35" i="1" s="1"/>
  <c r="AE36" i="1"/>
  <c r="AE35" i="1" s="1"/>
  <c r="AC36" i="1"/>
  <c r="AC35" i="1" s="1"/>
  <c r="Y36" i="1"/>
  <c r="Y35" i="1" s="1"/>
  <c r="W36" i="1"/>
  <c r="W35" i="1" s="1"/>
  <c r="U36" i="1"/>
  <c r="S36" i="1"/>
  <c r="S35" i="1" s="1"/>
  <c r="Q36" i="1"/>
  <c r="Q35" i="1" s="1"/>
  <c r="CO35" i="1"/>
  <c r="CN35" i="1"/>
  <c r="CM35" i="1"/>
  <c r="CL35" i="1"/>
  <c r="CK35" i="1"/>
  <c r="CJ35" i="1"/>
  <c r="CH35" i="1"/>
  <c r="CF35" i="1"/>
  <c r="CD35" i="1"/>
  <c r="CB35" i="1"/>
  <c r="BZ35" i="1"/>
  <c r="BX35" i="1"/>
  <c r="BV35" i="1"/>
  <c r="BT35" i="1"/>
  <c r="BR35" i="1"/>
  <c r="BQ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S35" i="1"/>
  <c r="AR35" i="1"/>
  <c r="AQ35" i="1"/>
  <c r="AP35" i="1"/>
  <c r="AN35" i="1"/>
  <c r="AL35" i="1"/>
  <c r="AH35" i="1"/>
  <c r="AF35" i="1"/>
  <c r="AD35" i="1"/>
  <c r="AB35" i="1"/>
  <c r="AA35" i="1"/>
  <c r="Z35" i="1"/>
  <c r="X35" i="1"/>
  <c r="V35" i="1"/>
  <c r="T35" i="1"/>
  <c r="R35" i="1"/>
  <c r="P35" i="1"/>
  <c r="CP34" i="1"/>
  <c r="AI34" i="1"/>
  <c r="AG34" i="1"/>
  <c r="AE34" i="1"/>
  <c r="AA34" i="1"/>
  <c r="Y34" i="1"/>
  <c r="W34" i="1"/>
  <c r="U34" i="1"/>
  <c r="S34" i="1"/>
  <c r="Q34" i="1"/>
  <c r="CP33" i="1"/>
  <c r="AI33" i="1"/>
  <c r="AG33" i="1"/>
  <c r="AE33" i="1"/>
  <c r="AA33" i="1"/>
  <c r="Y33" i="1"/>
  <c r="W33" i="1"/>
  <c r="U33" i="1"/>
  <c r="S33" i="1"/>
  <c r="Q33" i="1"/>
  <c r="CP32" i="1"/>
  <c r="CI32" i="1"/>
  <c r="CG32" i="1"/>
  <c r="CE32" i="1"/>
  <c r="CC32" i="1"/>
  <c r="CC30" i="1" s="1"/>
  <c r="CA32" i="1"/>
  <c r="BY32" i="1"/>
  <c r="BW32" i="1"/>
  <c r="BU32" i="1"/>
  <c r="BS32" i="1"/>
  <c r="BO32" i="1"/>
  <c r="BM32" i="1"/>
  <c r="BK32" i="1"/>
  <c r="BI32" i="1"/>
  <c r="BG32" i="1"/>
  <c r="BE32" i="1"/>
  <c r="AI32" i="1"/>
  <c r="AG32" i="1"/>
  <c r="AE32" i="1"/>
  <c r="AA32" i="1"/>
  <c r="Y32" i="1"/>
  <c r="W32" i="1"/>
  <c r="U32" i="1"/>
  <c r="S32" i="1"/>
  <c r="Q32" i="1"/>
  <c r="CP31" i="1"/>
  <c r="CI31" i="1"/>
  <c r="CG31" i="1"/>
  <c r="CG30" i="1" s="1"/>
  <c r="CE31" i="1"/>
  <c r="CE30" i="1" s="1"/>
  <c r="CA31" i="1"/>
  <c r="BY31" i="1"/>
  <c r="BY30" i="1" s="1"/>
  <c r="BW31" i="1"/>
  <c r="BW30" i="1" s="1"/>
  <c r="BU31" i="1"/>
  <c r="BU30" i="1" s="1"/>
  <c r="BS31" i="1"/>
  <c r="BS30" i="1" s="1"/>
  <c r="BO31" i="1"/>
  <c r="BM31" i="1"/>
  <c r="BM30" i="1" s="1"/>
  <c r="BK31" i="1"/>
  <c r="BK30" i="1" s="1"/>
  <c r="BI31" i="1"/>
  <c r="BI30" i="1" s="1"/>
  <c r="BG31" i="1"/>
  <c r="BG30" i="1" s="1"/>
  <c r="BE31" i="1"/>
  <c r="AI31" i="1"/>
  <c r="AG31" i="1"/>
  <c r="AE31" i="1"/>
  <c r="AA31" i="1"/>
  <c r="Y31" i="1"/>
  <c r="W31" i="1"/>
  <c r="U31" i="1"/>
  <c r="S31" i="1"/>
  <c r="Q31" i="1"/>
  <c r="CO30" i="1"/>
  <c r="CN30" i="1"/>
  <c r="CM30" i="1"/>
  <c r="CL30" i="1"/>
  <c r="CK30" i="1"/>
  <c r="CJ30" i="1"/>
  <c r="CH30" i="1"/>
  <c r="CF30" i="1"/>
  <c r="CD30" i="1"/>
  <c r="CB30" i="1"/>
  <c r="BZ30" i="1"/>
  <c r="BX30" i="1"/>
  <c r="BV30" i="1"/>
  <c r="BT30" i="1"/>
  <c r="BR30" i="1"/>
  <c r="BQ30" i="1"/>
  <c r="BP30" i="1"/>
  <c r="BN30" i="1"/>
  <c r="BL30" i="1"/>
  <c r="BJ30" i="1"/>
  <c r="BH30" i="1"/>
  <c r="BF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H30" i="1"/>
  <c r="AF30" i="1"/>
  <c r="AD30" i="1"/>
  <c r="AC30" i="1"/>
  <c r="AB30" i="1"/>
  <c r="Z30" i="1"/>
  <c r="X30" i="1"/>
  <c r="V30" i="1"/>
  <c r="T30" i="1"/>
  <c r="R30" i="1"/>
  <c r="P30" i="1"/>
  <c r="CP29" i="1"/>
  <c r="CI29" i="1"/>
  <c r="CG29" i="1"/>
  <c r="CE29" i="1"/>
  <c r="CC29" i="1"/>
  <c r="CA29" i="1"/>
  <c r="BY29" i="1"/>
  <c r="BW29" i="1"/>
  <c r="BU29" i="1"/>
  <c r="BS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O29" i="1"/>
  <c r="AM29" i="1"/>
  <c r="AI29" i="1"/>
  <c r="AG29" i="1"/>
  <c r="AE29" i="1"/>
  <c r="AC29" i="1"/>
  <c r="Y29" i="1"/>
  <c r="W29" i="1"/>
  <c r="U29" i="1"/>
  <c r="S29" i="1"/>
  <c r="Q29" i="1"/>
  <c r="CP28" i="1"/>
  <c r="CI28" i="1"/>
  <c r="CG28" i="1"/>
  <c r="CE28" i="1"/>
  <c r="CC28" i="1"/>
  <c r="CA28" i="1"/>
  <c r="BY28" i="1"/>
  <c r="BW28" i="1"/>
  <c r="BU28" i="1"/>
  <c r="BS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S26" i="1" s="1"/>
  <c r="AO28" i="1"/>
  <c r="AM28" i="1"/>
  <c r="AI28" i="1"/>
  <c r="AG28" i="1"/>
  <c r="AE28" i="1"/>
  <c r="AC28" i="1"/>
  <c r="Y28" i="1"/>
  <c r="W28" i="1"/>
  <c r="U28" i="1"/>
  <c r="S28" i="1"/>
  <c r="Q28" i="1"/>
  <c r="CP27" i="1"/>
  <c r="CI27" i="1"/>
  <c r="CG27" i="1"/>
  <c r="CE27" i="1"/>
  <c r="CC27" i="1"/>
  <c r="CA27" i="1"/>
  <c r="BY27" i="1"/>
  <c r="BW27" i="1"/>
  <c r="BU27" i="1"/>
  <c r="BS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O27" i="1"/>
  <c r="AM27" i="1"/>
  <c r="AI27" i="1"/>
  <c r="AG27" i="1"/>
  <c r="AE27" i="1"/>
  <c r="AC27" i="1"/>
  <c r="Y27" i="1"/>
  <c r="W27" i="1"/>
  <c r="U27" i="1"/>
  <c r="S27" i="1"/>
  <c r="Q27" i="1"/>
  <c r="CO26" i="1"/>
  <c r="CN26" i="1"/>
  <c r="CM26" i="1"/>
  <c r="CL26" i="1"/>
  <c r="CK26" i="1"/>
  <c r="CJ26" i="1"/>
  <c r="CH26" i="1"/>
  <c r="CF26" i="1"/>
  <c r="CD26" i="1"/>
  <c r="CB26" i="1"/>
  <c r="BZ26" i="1"/>
  <c r="BX26" i="1"/>
  <c r="BV26" i="1"/>
  <c r="BT26" i="1"/>
  <c r="BR26" i="1"/>
  <c r="BQ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Q26" i="1"/>
  <c r="AP26" i="1"/>
  <c r="AN26" i="1"/>
  <c r="AL26" i="1"/>
  <c r="AH26" i="1"/>
  <c r="AF26" i="1"/>
  <c r="AD26" i="1"/>
  <c r="AB26" i="1"/>
  <c r="AA26" i="1"/>
  <c r="Z26" i="1"/>
  <c r="X26" i="1"/>
  <c r="V26" i="1"/>
  <c r="T26" i="1"/>
  <c r="R26" i="1"/>
  <c r="P26" i="1"/>
  <c r="CI25" i="1"/>
  <c r="CI24" i="1" s="1"/>
  <c r="CG25" i="1"/>
  <c r="CG24" i="1" s="1"/>
  <c r="CE25" i="1"/>
  <c r="CE24" i="1" s="1"/>
  <c r="CA25" i="1"/>
  <c r="CA24" i="1" s="1"/>
  <c r="BY25" i="1"/>
  <c r="BY24" i="1" s="1"/>
  <c r="BW25" i="1"/>
  <c r="BW24" i="1" s="1"/>
  <c r="BU25" i="1"/>
  <c r="BU24" i="1" s="1"/>
  <c r="BS25" i="1"/>
  <c r="BS24" i="1" s="1"/>
  <c r="BO25" i="1"/>
  <c r="BO24" i="1" s="1"/>
  <c r="BM25" i="1"/>
  <c r="BM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O25" i="1"/>
  <c r="AO24" i="1" s="1"/>
  <c r="AM25" i="1"/>
  <c r="AH25" i="1"/>
  <c r="CP25" i="1" s="1"/>
  <c r="AG25" i="1"/>
  <c r="AG24" i="1" s="1"/>
  <c r="AE25" i="1"/>
  <c r="AE24" i="1" s="1"/>
  <c r="AC25" i="1"/>
  <c r="AC24" i="1" s="1"/>
  <c r="Y25" i="1"/>
  <c r="Y24" i="1" s="1"/>
  <c r="W25" i="1"/>
  <c r="W24" i="1" s="1"/>
  <c r="U25" i="1"/>
  <c r="U24" i="1" s="1"/>
  <c r="S25" i="1"/>
  <c r="S24" i="1" s="1"/>
  <c r="Q25" i="1"/>
  <c r="CO24" i="1"/>
  <c r="CN24" i="1"/>
  <c r="CM24" i="1"/>
  <c r="CL24" i="1"/>
  <c r="CK24" i="1"/>
  <c r="CJ24" i="1"/>
  <c r="CH24" i="1"/>
  <c r="CF24" i="1"/>
  <c r="CD24" i="1"/>
  <c r="CC24" i="1"/>
  <c r="CB24" i="1"/>
  <c r="BZ24" i="1"/>
  <c r="BX24" i="1"/>
  <c r="BV24" i="1"/>
  <c r="BT24" i="1"/>
  <c r="BR24" i="1"/>
  <c r="BQ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Q24" i="1"/>
  <c r="AP24" i="1"/>
  <c r="AN24" i="1"/>
  <c r="AM24" i="1"/>
  <c r="AL24" i="1"/>
  <c r="AF24" i="1"/>
  <c r="AD24" i="1"/>
  <c r="AB24" i="1"/>
  <c r="AA24" i="1"/>
  <c r="Z24" i="1"/>
  <c r="X24" i="1"/>
  <c r="V24" i="1"/>
  <c r="T24" i="1"/>
  <c r="R24" i="1"/>
  <c r="P24" i="1"/>
  <c r="CP23" i="1"/>
  <c r="CP22" i="1" s="1"/>
  <c r="CI23" i="1"/>
  <c r="CI22" i="1" s="1"/>
  <c r="CG23" i="1"/>
  <c r="CG22" i="1" s="1"/>
  <c r="CE23" i="1"/>
  <c r="CE22" i="1" s="1"/>
  <c r="CC23" i="1"/>
  <c r="CC22" i="1" s="1"/>
  <c r="CA23" i="1"/>
  <c r="CA22" i="1" s="1"/>
  <c r="BY23" i="1"/>
  <c r="BY22" i="1" s="1"/>
  <c r="BW23" i="1"/>
  <c r="BW22" i="1" s="1"/>
  <c r="BU23" i="1"/>
  <c r="BU22" i="1" s="1"/>
  <c r="BS23" i="1"/>
  <c r="BS22" i="1" s="1"/>
  <c r="BO23" i="1"/>
  <c r="BO22" i="1" s="1"/>
  <c r="BM23" i="1"/>
  <c r="BM22" i="1" s="1"/>
  <c r="BK23" i="1"/>
  <c r="BK22" i="1" s="1"/>
  <c r="BI23" i="1"/>
  <c r="BI22" i="1" s="1"/>
  <c r="BG23" i="1"/>
  <c r="BG22" i="1" s="1"/>
  <c r="BE23" i="1"/>
  <c r="BE22" i="1" s="1"/>
  <c r="BC23" i="1"/>
  <c r="BC22" i="1" s="1"/>
  <c r="BA23" i="1"/>
  <c r="BA22" i="1" s="1"/>
  <c r="AY23" i="1"/>
  <c r="AY22" i="1" s="1"/>
  <c r="AW23" i="1"/>
  <c r="AW22" i="1" s="1"/>
  <c r="AU23" i="1"/>
  <c r="AU22" i="1" s="1"/>
  <c r="AS23" i="1"/>
  <c r="AS22" i="1" s="1"/>
  <c r="AO23" i="1"/>
  <c r="AO22" i="1" s="1"/>
  <c r="AM23" i="1"/>
  <c r="AM22" i="1" s="1"/>
  <c r="AI23" i="1"/>
  <c r="AG23" i="1"/>
  <c r="AG22" i="1" s="1"/>
  <c r="AE23" i="1"/>
  <c r="AE22" i="1" s="1"/>
  <c r="AC23" i="1"/>
  <c r="AC22" i="1" s="1"/>
  <c r="Y23" i="1"/>
  <c r="Y22" i="1" s="1"/>
  <c r="W23" i="1"/>
  <c r="W22" i="1" s="1"/>
  <c r="U23" i="1"/>
  <c r="U22" i="1" s="1"/>
  <c r="S23" i="1"/>
  <c r="S22" i="1" s="1"/>
  <c r="Q23" i="1"/>
  <c r="Q22" i="1" s="1"/>
  <c r="CO22" i="1"/>
  <c r="CN22" i="1"/>
  <c r="CM22" i="1"/>
  <c r="CL22" i="1"/>
  <c r="CK22" i="1"/>
  <c r="CJ22" i="1"/>
  <c r="CH22" i="1"/>
  <c r="CF22" i="1"/>
  <c r="CD22" i="1"/>
  <c r="CB22" i="1"/>
  <c r="BZ22" i="1"/>
  <c r="BX22" i="1"/>
  <c r="BV22" i="1"/>
  <c r="BT22" i="1"/>
  <c r="BR22" i="1"/>
  <c r="BQ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Q22" i="1"/>
  <c r="AP22" i="1"/>
  <c r="AN22" i="1"/>
  <c r="AL22" i="1"/>
  <c r="AI22" i="1"/>
  <c r="AH22" i="1"/>
  <c r="AF22" i="1"/>
  <c r="AD22" i="1"/>
  <c r="AB22" i="1"/>
  <c r="AA22" i="1"/>
  <c r="Z22" i="1"/>
  <c r="X22" i="1"/>
  <c r="V22" i="1"/>
  <c r="T22" i="1"/>
  <c r="R22" i="1"/>
  <c r="P22" i="1"/>
  <c r="CP21" i="1"/>
  <c r="AI21" i="1"/>
  <c r="AG21" i="1"/>
  <c r="AE21" i="1"/>
  <c r="AA21" i="1"/>
  <c r="Y21" i="1"/>
  <c r="W21" i="1"/>
  <c r="U21" i="1"/>
  <c r="S21" i="1"/>
  <c r="Q21" i="1"/>
  <c r="CP20" i="1"/>
  <c r="AI20" i="1"/>
  <c r="AG20" i="1"/>
  <c r="AE20" i="1"/>
  <c r="AA20" i="1"/>
  <c r="Y20" i="1"/>
  <c r="W20" i="1"/>
  <c r="U20" i="1"/>
  <c r="S20" i="1"/>
  <c r="Q20" i="1"/>
  <c r="CP19" i="1"/>
  <c r="CI19" i="1"/>
  <c r="CG19" i="1"/>
  <c r="CE19" i="1"/>
  <c r="CC19" i="1"/>
  <c r="CA19" i="1"/>
  <c r="BY19" i="1"/>
  <c r="BW19" i="1"/>
  <c r="BU19" i="1"/>
  <c r="BS19" i="1"/>
  <c r="BO19" i="1"/>
  <c r="BM19" i="1"/>
  <c r="BK19" i="1"/>
  <c r="BI19" i="1"/>
  <c r="BG19" i="1"/>
  <c r="BE19" i="1"/>
  <c r="AI19" i="1"/>
  <c r="AG19" i="1"/>
  <c r="AE19" i="1"/>
  <c r="AA19" i="1"/>
  <c r="Y19" i="1"/>
  <c r="W19" i="1"/>
  <c r="U19" i="1"/>
  <c r="S19" i="1"/>
  <c r="Q19" i="1"/>
  <c r="CP18" i="1"/>
  <c r="AI18" i="1"/>
  <c r="AG18" i="1"/>
  <c r="AE18" i="1"/>
  <c r="AA18" i="1"/>
  <c r="Y18" i="1"/>
  <c r="W18" i="1"/>
  <c r="U18" i="1"/>
  <c r="S18" i="1"/>
  <c r="Q18" i="1"/>
  <c r="CP17" i="1"/>
  <c r="CI17" i="1"/>
  <c r="CG17" i="1"/>
  <c r="CE17" i="1"/>
  <c r="CC17" i="1"/>
  <c r="CA17" i="1"/>
  <c r="BY17" i="1"/>
  <c r="BW17" i="1"/>
  <c r="BU17" i="1"/>
  <c r="BS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O17" i="1"/>
  <c r="AM17" i="1"/>
  <c r="AI17" i="1"/>
  <c r="AG17" i="1"/>
  <c r="AE17" i="1"/>
  <c r="AC17" i="1"/>
  <c r="Y17" i="1"/>
  <c r="W17" i="1"/>
  <c r="U17" i="1"/>
  <c r="S17" i="1"/>
  <c r="Q17" i="1"/>
  <c r="CP16" i="1"/>
  <c r="CI16" i="1"/>
  <c r="CG16" i="1"/>
  <c r="CE16" i="1"/>
  <c r="CC16" i="1"/>
  <c r="CA16" i="1"/>
  <c r="BY16" i="1"/>
  <c r="BW16" i="1"/>
  <c r="BU16" i="1"/>
  <c r="BS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O16" i="1"/>
  <c r="AM16" i="1"/>
  <c r="AI16" i="1"/>
  <c r="AG16" i="1"/>
  <c r="AE16" i="1"/>
  <c r="AC16" i="1"/>
  <c r="Y16" i="1"/>
  <c r="W16" i="1"/>
  <c r="U16" i="1"/>
  <c r="S16" i="1"/>
  <c r="Q16" i="1"/>
  <c r="CP15" i="1"/>
  <c r="CI15" i="1"/>
  <c r="CG15" i="1"/>
  <c r="CE15" i="1"/>
  <c r="CC15" i="1"/>
  <c r="CA15" i="1"/>
  <c r="BY15" i="1"/>
  <c r="BW15" i="1"/>
  <c r="BU15" i="1"/>
  <c r="BS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O15" i="1"/>
  <c r="AM15" i="1"/>
  <c r="AI15" i="1"/>
  <c r="AG15" i="1"/>
  <c r="AE15" i="1"/>
  <c r="AC15" i="1"/>
  <c r="Y15" i="1"/>
  <c r="W15" i="1"/>
  <c r="U15" i="1"/>
  <c r="S15" i="1"/>
  <c r="Q15" i="1"/>
  <c r="CP14" i="1"/>
  <c r="CI14" i="1"/>
  <c r="CG14" i="1"/>
  <c r="CE14" i="1"/>
  <c r="CC14" i="1"/>
  <c r="CA14" i="1"/>
  <c r="BY14" i="1"/>
  <c r="BW14" i="1"/>
  <c r="BU14" i="1"/>
  <c r="BS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O14" i="1"/>
  <c r="AM14" i="1"/>
  <c r="AI14" i="1"/>
  <c r="AG14" i="1"/>
  <c r="AE14" i="1"/>
  <c r="AC14" i="1"/>
  <c r="Y14" i="1"/>
  <c r="W14" i="1"/>
  <c r="U14" i="1"/>
  <c r="S14" i="1"/>
  <c r="Q14" i="1"/>
  <c r="CP13" i="1"/>
  <c r="CI13" i="1"/>
  <c r="CG13" i="1"/>
  <c r="CE13" i="1"/>
  <c r="CC13" i="1"/>
  <c r="CA13" i="1"/>
  <c r="BY13" i="1"/>
  <c r="BW13" i="1"/>
  <c r="BU13" i="1"/>
  <c r="BS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O13" i="1"/>
  <c r="AM13" i="1"/>
  <c r="AI13" i="1"/>
  <c r="AG13" i="1"/>
  <c r="AE13" i="1"/>
  <c r="AC13" i="1"/>
  <c r="Y13" i="1"/>
  <c r="W13" i="1"/>
  <c r="U13" i="1"/>
  <c r="S13" i="1"/>
  <c r="Q13" i="1"/>
  <c r="CI12" i="1"/>
  <c r="CG12" i="1"/>
  <c r="CE12" i="1"/>
  <c r="CC12" i="1"/>
  <c r="CA12" i="1"/>
  <c r="BY12" i="1"/>
  <c r="BW12" i="1"/>
  <c r="BU12" i="1"/>
  <c r="BS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O12" i="1"/>
  <c r="AM12" i="1"/>
  <c r="AH12" i="1"/>
  <c r="CP12" i="1" s="1"/>
  <c r="AG12" i="1"/>
  <c r="AE12" i="1"/>
  <c r="AC12" i="1"/>
  <c r="Y12" i="1"/>
  <c r="W12" i="1"/>
  <c r="U12" i="1"/>
  <c r="S12" i="1"/>
  <c r="Q12" i="1"/>
  <c r="CO11" i="1"/>
  <c r="CN11" i="1"/>
  <c r="CM11" i="1"/>
  <c r="CL11" i="1"/>
  <c r="CK11" i="1"/>
  <c r="CJ11" i="1"/>
  <c r="CH11" i="1"/>
  <c r="CF11" i="1"/>
  <c r="CD11" i="1"/>
  <c r="CB11" i="1"/>
  <c r="BZ11" i="1"/>
  <c r="BX11" i="1"/>
  <c r="BV11" i="1"/>
  <c r="BT11" i="1"/>
  <c r="BR11" i="1"/>
  <c r="BQ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Q11" i="1"/>
  <c r="AP11" i="1"/>
  <c r="AN11" i="1"/>
  <c r="AL11" i="1"/>
  <c r="AF11" i="1"/>
  <c r="AD11" i="1"/>
  <c r="AB11" i="1"/>
  <c r="Z11" i="1"/>
  <c r="X11" i="1"/>
  <c r="V11" i="1"/>
  <c r="T11" i="1"/>
  <c r="R11" i="1"/>
  <c r="P11" i="1"/>
  <c r="U11" i="1" l="1"/>
  <c r="BY11" i="1"/>
  <c r="BG11" i="1"/>
  <c r="Q64" i="1"/>
  <c r="AE64" i="1"/>
  <c r="AU64" i="1"/>
  <c r="BG64" i="1"/>
  <c r="BU64" i="1"/>
  <c r="CG64" i="1"/>
  <c r="W64" i="1"/>
  <c r="AM64" i="1"/>
  <c r="CA64" i="1"/>
  <c r="Y186" i="1"/>
  <c r="AO186" i="1"/>
  <c r="CE186" i="1"/>
  <c r="U186" i="1"/>
  <c r="AY186" i="1"/>
  <c r="BK186" i="1"/>
  <c r="AG64" i="1"/>
  <c r="AO64" i="1"/>
  <c r="Y67" i="1"/>
  <c r="BC67" i="1"/>
  <c r="S67" i="1"/>
  <c r="AW67" i="1"/>
  <c r="BI67" i="1"/>
  <c r="W186" i="1"/>
  <c r="AM186" i="1"/>
  <c r="BM186" i="1"/>
  <c r="BW26" i="1"/>
  <c r="CI26" i="1"/>
  <c r="BC49" i="1"/>
  <c r="U64" i="1"/>
  <c r="AY64" i="1"/>
  <c r="BY64" i="1"/>
  <c r="CE81" i="1"/>
  <c r="AI193" i="1"/>
  <c r="CP193" i="1"/>
  <c r="CE178" i="1"/>
  <c r="AU203" i="1"/>
  <c r="BS242" i="1"/>
  <c r="BS273" i="1"/>
  <c r="CG71" i="1"/>
  <c r="CI76" i="1"/>
  <c r="CQ150" i="1"/>
  <c r="BU171" i="1"/>
  <c r="Q193" i="1"/>
  <c r="CG193" i="1"/>
  <c r="BY273" i="1"/>
  <c r="AE11" i="1"/>
  <c r="CQ15" i="1"/>
  <c r="AW46" i="1"/>
  <c r="CI46" i="1"/>
  <c r="AS67" i="1"/>
  <c r="AI171" i="1"/>
  <c r="BA178" i="1"/>
  <c r="BM178" i="1"/>
  <c r="BE203" i="1"/>
  <c r="BS203" i="1"/>
  <c r="S222" i="1"/>
  <c r="AG233" i="1"/>
  <c r="BI233" i="1"/>
  <c r="CE233" i="1"/>
  <c r="CP237" i="1"/>
  <c r="AA242" i="1"/>
  <c r="CG49" i="1"/>
  <c r="CE64" i="1"/>
  <c r="AS171" i="1"/>
  <c r="AW193" i="1"/>
  <c r="CP215" i="1"/>
  <c r="AC215" i="1"/>
  <c r="BO233" i="1"/>
  <c r="BY237" i="1"/>
  <c r="CK237" i="1"/>
  <c r="CC237" i="1"/>
  <c r="Y26" i="1"/>
  <c r="S26" i="1"/>
  <c r="BE37" i="1"/>
  <c r="AS46" i="1"/>
  <c r="BE46" i="1"/>
  <c r="AC49" i="1"/>
  <c r="AG186" i="1"/>
  <c r="AW186" i="1"/>
  <c r="BI186" i="1"/>
  <c r="BY186" i="1"/>
  <c r="CI186" i="1"/>
  <c r="Y237" i="1"/>
  <c r="BH290" i="1"/>
  <c r="BH302" i="1" s="1"/>
  <c r="BR290" i="1"/>
  <c r="BR302" i="1" s="1"/>
  <c r="AM11" i="1"/>
  <c r="BA11" i="1"/>
  <c r="AM41" i="1"/>
  <c r="BA41" i="1"/>
  <c r="BM41" i="1"/>
  <c r="CG61" i="1"/>
  <c r="AC67" i="1"/>
  <c r="BE67" i="1"/>
  <c r="BS67" i="1"/>
  <c r="CG67" i="1"/>
  <c r="Q171" i="1"/>
  <c r="AE171" i="1"/>
  <c r="AU171" i="1"/>
  <c r="BG171" i="1"/>
  <c r="BW171" i="1"/>
  <c r="Y222" i="1"/>
  <c r="AO222" i="1"/>
  <c r="BC222" i="1"/>
  <c r="BO222" i="1"/>
  <c r="CC222" i="1"/>
  <c r="U233" i="1"/>
  <c r="AI233" i="1"/>
  <c r="AY233" i="1"/>
  <c r="BK233" i="1"/>
  <c r="BY233" i="1"/>
  <c r="CK233" i="1"/>
  <c r="AS11" i="1"/>
  <c r="BS11" i="1"/>
  <c r="U26" i="1"/>
  <c r="AY26" i="1"/>
  <c r="BK26" i="1"/>
  <c r="BY26" i="1"/>
  <c r="CP26" i="1"/>
  <c r="Y30" i="1"/>
  <c r="CI30" i="1"/>
  <c r="CA46" i="1"/>
  <c r="CQ165" i="1"/>
  <c r="AW171" i="1"/>
  <c r="BI171" i="1"/>
  <c r="W233" i="1"/>
  <c r="AM233" i="1"/>
  <c r="BA233" i="1"/>
  <c r="BM233" i="1"/>
  <c r="CA233" i="1"/>
  <c r="AC233" i="1"/>
  <c r="CI237" i="1"/>
  <c r="AG242" i="1"/>
  <c r="AM26" i="1"/>
  <c r="BA26" i="1"/>
  <c r="BM26" i="1"/>
  <c r="AS37" i="1"/>
  <c r="AG46" i="1"/>
  <c r="Y76" i="1"/>
  <c r="AG76" i="1"/>
  <c r="CA49" i="1"/>
  <c r="Q49" i="1"/>
  <c r="AU178" i="1"/>
  <c r="AS186" i="1"/>
  <c r="U215" i="1"/>
  <c r="AY215" i="1"/>
  <c r="BK215" i="1"/>
  <c r="CK215" i="1"/>
  <c r="BW222" i="1"/>
  <c r="AS233" i="1"/>
  <c r="AW233" i="1"/>
  <c r="Q273" i="1"/>
  <c r="AU273" i="1"/>
  <c r="CG273" i="1"/>
  <c r="AI273" i="1"/>
  <c r="AY273" i="1"/>
  <c r="BK273" i="1"/>
  <c r="BO49" i="1"/>
  <c r="CA61" i="1"/>
  <c r="CA71" i="1"/>
  <c r="U81" i="1"/>
  <c r="AY81" i="1"/>
  <c r="AA81" i="1"/>
  <c r="CQ100" i="1"/>
  <c r="CQ149" i="1"/>
  <c r="CQ158" i="1"/>
  <c r="BK193" i="1"/>
  <c r="W203" i="1"/>
  <c r="AM203" i="1"/>
  <c r="BA203" i="1"/>
  <c r="BM203" i="1"/>
  <c r="W208" i="1"/>
  <c r="BU233" i="1"/>
  <c r="AO242" i="1"/>
  <c r="AU242" i="1"/>
  <c r="BY242" i="1"/>
  <c r="CQ260" i="1"/>
  <c r="CQ262" i="1"/>
  <c r="AG273" i="1"/>
  <c r="AA11" i="1"/>
  <c r="CN290" i="1"/>
  <c r="CN302" i="1" s="1"/>
  <c r="BB290" i="1"/>
  <c r="BB302" i="1" s="1"/>
  <c r="CH290" i="1"/>
  <c r="CH302" i="1" s="1"/>
  <c r="CE11" i="1"/>
  <c r="AT290" i="1"/>
  <c r="AT302" i="1" s="1"/>
  <c r="Y11" i="1"/>
  <c r="CC11" i="1"/>
  <c r="AN290" i="1"/>
  <c r="AN302" i="1" s="1"/>
  <c r="BQ290" i="1"/>
  <c r="BQ302" i="1" s="1"/>
  <c r="BZ290" i="1"/>
  <c r="BZ302" i="1" s="1"/>
  <c r="S11" i="1"/>
  <c r="AG11" i="1"/>
  <c r="AW11" i="1"/>
  <c r="BI11" i="1"/>
  <c r="BW11" i="1"/>
  <c r="CI11" i="1"/>
  <c r="BE11" i="1"/>
  <c r="U30" i="1"/>
  <c r="Q41" i="1"/>
  <c r="AE41" i="1"/>
  <c r="AU41" i="1"/>
  <c r="BG41" i="1"/>
  <c r="BU41" i="1"/>
  <c r="CG41" i="1"/>
  <c r="CQ47" i="1"/>
  <c r="AI46" i="1"/>
  <c r="AY46" i="1"/>
  <c r="BK46" i="1"/>
  <c r="BY46" i="1"/>
  <c r="W67" i="1"/>
  <c r="AM67" i="1"/>
  <c r="BA67" i="1"/>
  <c r="BM67" i="1"/>
  <c r="CC67" i="1"/>
  <c r="CP119" i="1"/>
  <c r="W119" i="1"/>
  <c r="CQ119" i="1" s="1"/>
  <c r="W30" i="1"/>
  <c r="BE30" i="1"/>
  <c r="AG129" i="1"/>
  <c r="CQ129" i="1" s="1"/>
  <c r="CP129" i="1"/>
  <c r="AU11" i="1"/>
  <c r="AE37" i="1"/>
  <c r="BM81" i="1"/>
  <c r="BA81" i="1"/>
  <c r="CQ97" i="1"/>
  <c r="CF290" i="1"/>
  <c r="CF302" i="1" s="1"/>
  <c r="CC26" i="1"/>
  <c r="AA30" i="1"/>
  <c r="CP30" i="1"/>
  <c r="CC49" i="1"/>
  <c r="W123" i="1"/>
  <c r="CQ123" i="1" s="1"/>
  <c r="CP123" i="1"/>
  <c r="CP144" i="1"/>
  <c r="W144" i="1"/>
  <c r="CQ144" i="1" s="1"/>
  <c r="BJ290" i="1"/>
  <c r="BJ302" i="1" s="1"/>
  <c r="BL290" i="1"/>
  <c r="BL302" i="1" s="1"/>
  <c r="CQ19" i="1"/>
  <c r="BE26" i="1"/>
  <c r="U37" i="1"/>
  <c r="BY37" i="1"/>
  <c r="Y41" i="1"/>
  <c r="BC41" i="1"/>
  <c r="BO41" i="1"/>
  <c r="CC41" i="1"/>
  <c r="W46" i="1"/>
  <c r="Q71" i="1"/>
  <c r="CP142" i="1"/>
  <c r="W142" i="1"/>
  <c r="CQ142" i="1" s="1"/>
  <c r="BM11" i="1"/>
  <c r="X290" i="1"/>
  <c r="X302" i="1" s="1"/>
  <c r="BX290" i="1"/>
  <c r="BX302" i="1" s="1"/>
  <c r="BD290" i="1"/>
  <c r="BD302" i="1" s="1"/>
  <c r="AO11" i="1"/>
  <c r="AE26" i="1"/>
  <c r="AG30" i="1"/>
  <c r="AC41" i="1"/>
  <c r="CE41" i="1"/>
  <c r="S46" i="1"/>
  <c r="BI46" i="1"/>
  <c r="CP64" i="1"/>
  <c r="AG71" i="1"/>
  <c r="CC203" i="1"/>
  <c r="BY215" i="1"/>
  <c r="AO237" i="1"/>
  <c r="BC237" i="1"/>
  <c r="BO237" i="1"/>
  <c r="CG237" i="1"/>
  <c r="AC242" i="1"/>
  <c r="CE242" i="1"/>
  <c r="CQ280" i="1"/>
  <c r="BG61" i="1"/>
  <c r="BK67" i="1"/>
  <c r="AS81" i="1"/>
  <c r="BE81" i="1"/>
  <c r="BS81" i="1"/>
  <c r="AO81" i="1"/>
  <c r="W117" i="1"/>
  <c r="CQ117" i="1" s="1"/>
  <c r="W127" i="1"/>
  <c r="CQ127" i="1" s="1"/>
  <c r="W138" i="1"/>
  <c r="CQ138" i="1" s="1"/>
  <c r="CP160" i="1"/>
  <c r="CA171" i="1"/>
  <c r="CQ221" i="1"/>
  <c r="AO233" i="1"/>
  <c r="BC233" i="1"/>
  <c r="BG242" i="1"/>
  <c r="U242" i="1"/>
  <c r="AI242" i="1"/>
  <c r="CK242" i="1"/>
  <c r="U273" i="1"/>
  <c r="CK273" i="1"/>
  <c r="W49" i="1"/>
  <c r="CQ63" i="1"/>
  <c r="AG61" i="1"/>
  <c r="BI61" i="1"/>
  <c r="BW61" i="1"/>
  <c r="CI61" i="1"/>
  <c r="BM64" i="1"/>
  <c r="CQ109" i="1"/>
  <c r="CP166" i="1"/>
  <c r="BG178" i="1"/>
  <c r="W178" i="1"/>
  <c r="CQ184" i="1"/>
  <c r="CQ187" i="1"/>
  <c r="BI193" i="1"/>
  <c r="AO193" i="1"/>
  <c r="BC193" i="1"/>
  <c r="CC193" i="1"/>
  <c r="Y203" i="1"/>
  <c r="Y215" i="1"/>
  <c r="AO215" i="1"/>
  <c r="BC215" i="1"/>
  <c r="BO215" i="1"/>
  <c r="CC215" i="1"/>
  <c r="AE222" i="1"/>
  <c r="AU222" i="1"/>
  <c r="BG222" i="1"/>
  <c r="BU222" i="1"/>
  <c r="CG222" i="1"/>
  <c r="BE233" i="1"/>
  <c r="BS233" i="1"/>
  <c r="CE237" i="1"/>
  <c r="CQ253" i="1"/>
  <c r="CQ263" i="1"/>
  <c r="AA49" i="1"/>
  <c r="BU49" i="1"/>
  <c r="AY49" i="1"/>
  <c r="AS49" i="1"/>
  <c r="U61" i="1"/>
  <c r="CQ69" i="1"/>
  <c r="AE67" i="1"/>
  <c r="AU67" i="1"/>
  <c r="BG67" i="1"/>
  <c r="BW67" i="1"/>
  <c r="CI67" i="1"/>
  <c r="BO67" i="1"/>
  <c r="AE81" i="1"/>
  <c r="AU81" i="1"/>
  <c r="BG81" i="1"/>
  <c r="W122" i="1"/>
  <c r="CQ122" i="1" s="1"/>
  <c r="W171" i="1"/>
  <c r="AG178" i="1"/>
  <c r="BW178" i="1"/>
  <c r="CI178" i="1"/>
  <c r="AI186" i="1"/>
  <c r="CA186" i="1"/>
  <c r="AU186" i="1"/>
  <c r="BW186" i="1"/>
  <c r="U193" i="1"/>
  <c r="AY193" i="1"/>
  <c r="BY193" i="1"/>
  <c r="AC203" i="1"/>
  <c r="AS203" i="1"/>
  <c r="AW222" i="1"/>
  <c r="BI222" i="1"/>
  <c r="CI222" i="1"/>
  <c r="Q233" i="1"/>
  <c r="CG233" i="1"/>
  <c r="BU237" i="1"/>
  <c r="AO273" i="1"/>
  <c r="AE273" i="1"/>
  <c r="BG273" i="1"/>
  <c r="BU273" i="1"/>
  <c r="CQ277" i="1"/>
  <c r="CQ283" i="1"/>
  <c r="AM46" i="1"/>
  <c r="Q46" i="1"/>
  <c r="AE46" i="1"/>
  <c r="AU46" i="1"/>
  <c r="BG46" i="1"/>
  <c r="BU46" i="1"/>
  <c r="CG46" i="1"/>
  <c r="BI49" i="1"/>
  <c r="BW49" i="1"/>
  <c r="CI49" i="1"/>
  <c r="AM49" i="1"/>
  <c r="BA49" i="1"/>
  <c r="CE61" i="1"/>
  <c r="AC64" i="1"/>
  <c r="BS64" i="1"/>
  <c r="BK64" i="1"/>
  <c r="U68" i="1"/>
  <c r="U67" i="1" s="1"/>
  <c r="AM76" i="1"/>
  <c r="CQ80" i="1"/>
  <c r="AW81" i="1"/>
  <c r="BI81" i="1"/>
  <c r="BW81" i="1"/>
  <c r="CI81" i="1"/>
  <c r="CQ92" i="1"/>
  <c r="CQ111" i="1"/>
  <c r="CQ139" i="1"/>
  <c r="CQ147" i="1"/>
  <c r="CQ154" i="1"/>
  <c r="CP165" i="1"/>
  <c r="AC171" i="1"/>
  <c r="BE171" i="1"/>
  <c r="BS171" i="1"/>
  <c r="BS178" i="1"/>
  <c r="S186" i="1"/>
  <c r="BA186" i="1"/>
  <c r="U203" i="1"/>
  <c r="AI203" i="1"/>
  <c r="AY203" i="1"/>
  <c r="BK203" i="1"/>
  <c r="BY203" i="1"/>
  <c r="BG203" i="1"/>
  <c r="BU203" i="1"/>
  <c r="AE203" i="1"/>
  <c r="Y208" i="1"/>
  <c r="AO208" i="1"/>
  <c r="BC208" i="1"/>
  <c r="BO208" i="1"/>
  <c r="CC208" i="1"/>
  <c r="CA208" i="1"/>
  <c r="S233" i="1"/>
  <c r="BW233" i="1"/>
  <c r="CI233" i="1"/>
  <c r="U237" i="1"/>
  <c r="AI237" i="1"/>
  <c r="AY237" i="1"/>
  <c r="BK237" i="1"/>
  <c r="CA237" i="1"/>
  <c r="S237" i="1"/>
  <c r="BA242" i="1"/>
  <c r="BM242" i="1"/>
  <c r="CP242" i="1"/>
  <c r="CQ245" i="1"/>
  <c r="CQ250" i="1"/>
  <c r="CQ255" i="1"/>
  <c r="CQ270" i="1"/>
  <c r="CE273" i="1"/>
  <c r="CA11" i="1"/>
  <c r="CQ16" i="1"/>
  <c r="Z290" i="1"/>
  <c r="Z302" i="1" s="1"/>
  <c r="AV290" i="1"/>
  <c r="AV302" i="1" s="1"/>
  <c r="CJ290" i="1"/>
  <c r="CJ302" i="1" s="1"/>
  <c r="BO11" i="1"/>
  <c r="CQ14" i="1"/>
  <c r="AC26" i="1"/>
  <c r="AH11" i="1"/>
  <c r="AX290" i="1"/>
  <c r="AX302" i="1" s="1"/>
  <c r="BN290" i="1"/>
  <c r="BN302" i="1" s="1"/>
  <c r="BV290" i="1"/>
  <c r="BV302" i="1" s="1"/>
  <c r="AC11" i="1"/>
  <c r="CQ13" i="1"/>
  <c r="AY11" i="1"/>
  <c r="CQ27" i="1"/>
  <c r="AU26" i="1"/>
  <c r="BU26" i="1"/>
  <c r="CA30" i="1"/>
  <c r="AW37" i="1"/>
  <c r="AB290" i="1"/>
  <c r="AB302" i="1" s="1"/>
  <c r="AL290" i="1"/>
  <c r="AL302" i="1" s="1"/>
  <c r="AR290" i="1"/>
  <c r="AR302" i="1" s="1"/>
  <c r="AZ290" i="1"/>
  <c r="AZ302" i="1" s="1"/>
  <c r="BP290" i="1"/>
  <c r="BP302" i="1" s="1"/>
  <c r="CL290" i="1"/>
  <c r="CL302" i="1" s="1"/>
  <c r="Q11" i="1"/>
  <c r="BU11" i="1"/>
  <c r="CG11" i="1"/>
  <c r="CQ18" i="1"/>
  <c r="CQ20" i="1"/>
  <c r="AH24" i="1"/>
  <c r="AI25" i="1"/>
  <c r="AI24" i="1" s="1"/>
  <c r="AG26" i="1"/>
  <c r="AI30" i="1"/>
  <c r="BO30" i="1"/>
  <c r="S61" i="1"/>
  <c r="AW61" i="1"/>
  <c r="BY61" i="1"/>
  <c r="Y64" i="1"/>
  <c r="BC64" i="1"/>
  <c r="BO64" i="1"/>
  <c r="CC64" i="1"/>
  <c r="AS64" i="1"/>
  <c r="BE64" i="1"/>
  <c r="AG67" i="1"/>
  <c r="BY67" i="1"/>
  <c r="CQ70" i="1"/>
  <c r="R71" i="1"/>
  <c r="Y71" i="1"/>
  <c r="AO71" i="1"/>
  <c r="BC71" i="1"/>
  <c r="W11" i="1"/>
  <c r="CQ17" i="1"/>
  <c r="CQ32" i="1"/>
  <c r="CQ39" i="1"/>
  <c r="AY37" i="1"/>
  <c r="BK37" i="1"/>
  <c r="CQ43" i="1"/>
  <c r="AI41" i="1"/>
  <c r="AY41" i="1"/>
  <c r="BK41" i="1"/>
  <c r="CQ48" i="1"/>
  <c r="CQ46" i="1" s="1"/>
  <c r="CQ50" i="1"/>
  <c r="U49" i="1"/>
  <c r="CQ60" i="1"/>
  <c r="CP62" i="1"/>
  <c r="AI62" i="1"/>
  <c r="AI61" i="1" s="1"/>
  <c r="AI67" i="1"/>
  <c r="AY67" i="1"/>
  <c r="CA67" i="1"/>
  <c r="AW71" i="1"/>
  <c r="U76" i="1"/>
  <c r="AI76" i="1"/>
  <c r="AY76" i="1"/>
  <c r="BK76" i="1"/>
  <c r="BY76" i="1"/>
  <c r="W76" i="1"/>
  <c r="BA76" i="1"/>
  <c r="BM76" i="1"/>
  <c r="CC76" i="1"/>
  <c r="W26" i="1"/>
  <c r="CA26" i="1"/>
  <c r="W41" i="1"/>
  <c r="CA41" i="1"/>
  <c r="Y49" i="1"/>
  <c r="AO49" i="1"/>
  <c r="CP72" i="1"/>
  <c r="V71" i="1"/>
  <c r="CQ91" i="1"/>
  <c r="AO26" i="1"/>
  <c r="BC26" i="1"/>
  <c r="BO26" i="1"/>
  <c r="CQ34" i="1"/>
  <c r="AE30" i="1"/>
  <c r="BA37" i="1"/>
  <c r="BM37" i="1"/>
  <c r="AO41" i="1"/>
  <c r="BA46" i="1"/>
  <c r="BM46" i="1"/>
  <c r="BE49" i="1"/>
  <c r="BS49" i="1"/>
  <c r="CE49" i="1"/>
  <c r="CQ53" i="1"/>
  <c r="S64" i="1"/>
  <c r="AW64" i="1"/>
  <c r="BI64" i="1"/>
  <c r="BW64" i="1"/>
  <c r="CI64" i="1"/>
  <c r="W72" i="1"/>
  <c r="W71" i="1" s="1"/>
  <c r="CQ73" i="1"/>
  <c r="AO76" i="1"/>
  <c r="BC76" i="1"/>
  <c r="BO76" i="1"/>
  <c r="CQ79" i="1"/>
  <c r="CQ82" i="1"/>
  <c r="Q81" i="1"/>
  <c r="BU81" i="1"/>
  <c r="CG81" i="1"/>
  <c r="CQ85" i="1"/>
  <c r="P290" i="1"/>
  <c r="P302" i="1" s="1"/>
  <c r="AP290" i="1"/>
  <c r="AP302" i="1" s="1"/>
  <c r="CB290" i="1"/>
  <c r="BS26" i="1"/>
  <c r="Q30" i="1"/>
  <c r="CQ33" i="1"/>
  <c r="CQ36" i="1"/>
  <c r="CQ35" i="1" s="1"/>
  <c r="AS41" i="1"/>
  <c r="BE41" i="1"/>
  <c r="Y46" i="1"/>
  <c r="AO46" i="1"/>
  <c r="BC46" i="1"/>
  <c r="BO46" i="1"/>
  <c r="CC46" i="1"/>
  <c r="CQ55" i="1"/>
  <c r="AU49" i="1"/>
  <c r="BG49" i="1"/>
  <c r="CQ59" i="1"/>
  <c r="BM49" i="1"/>
  <c r="S76" i="1"/>
  <c r="BK81" i="1"/>
  <c r="BY81" i="1"/>
  <c r="CQ84" i="1"/>
  <c r="AI81" i="1"/>
  <c r="AC81" i="1"/>
  <c r="AF290" i="1"/>
  <c r="CQ23" i="1"/>
  <c r="CQ22" i="1" s="1"/>
  <c r="BT290" i="1"/>
  <c r="BT302" i="1" s="1"/>
  <c r="BC11" i="1"/>
  <c r="CE26" i="1"/>
  <c r="BF290" i="1"/>
  <c r="BF302" i="1" s="1"/>
  <c r="CD290" i="1"/>
  <c r="CD302" i="1" s="1"/>
  <c r="BK11" i="1"/>
  <c r="CQ21" i="1"/>
  <c r="BG26" i="1"/>
  <c r="CG26" i="1"/>
  <c r="CQ31" i="1"/>
  <c r="Q37" i="1"/>
  <c r="AU37" i="1"/>
  <c r="BG37" i="1"/>
  <c r="BU37" i="1"/>
  <c r="CG37" i="1"/>
  <c r="CQ40" i="1"/>
  <c r="AG37" i="1"/>
  <c r="BI37" i="1"/>
  <c r="CQ45" i="1"/>
  <c r="CQ44" i="1" s="1"/>
  <c r="AC46" i="1"/>
  <c r="BS46" i="1"/>
  <c r="CE46" i="1"/>
  <c r="CQ56" i="1"/>
  <c r="AH61" i="1"/>
  <c r="Q61" i="1"/>
  <c r="AE61" i="1"/>
  <c r="Y61" i="1"/>
  <c r="AO61" i="1"/>
  <c r="AS71" i="1"/>
  <c r="BE71" i="1"/>
  <c r="BS71" i="1"/>
  <c r="CI71" i="1"/>
  <c r="CP74" i="1"/>
  <c r="BK49" i="1"/>
  <c r="BY49" i="1"/>
  <c r="CQ52" i="1"/>
  <c r="CQ54" i="1"/>
  <c r="CQ58" i="1"/>
  <c r="AG49" i="1"/>
  <c r="AY61" i="1"/>
  <c r="BK61" i="1"/>
  <c r="CQ66" i="1"/>
  <c r="AO67" i="1"/>
  <c r="CE67" i="1"/>
  <c r="S71" i="1"/>
  <c r="AE71" i="1"/>
  <c r="AU71" i="1"/>
  <c r="BG71" i="1"/>
  <c r="BW71" i="1"/>
  <c r="AW76" i="1"/>
  <c r="BI76" i="1"/>
  <c r="CA76" i="1"/>
  <c r="CQ87" i="1"/>
  <c r="CQ93" i="1"/>
  <c r="CQ103" i="1"/>
  <c r="CQ105" i="1"/>
  <c r="CQ112" i="1"/>
  <c r="CQ114" i="1"/>
  <c r="CP125" i="1"/>
  <c r="CP128" i="1"/>
  <c r="W132" i="1"/>
  <c r="CP147" i="1"/>
  <c r="CP148" i="1"/>
  <c r="CP154" i="1"/>
  <c r="W160" i="1"/>
  <c r="Y171" i="1"/>
  <c r="AO171" i="1"/>
  <c r="BC171" i="1"/>
  <c r="BO171" i="1"/>
  <c r="CG171" i="1"/>
  <c r="U171" i="1"/>
  <c r="AY171" i="1"/>
  <c r="BK171" i="1"/>
  <c r="BY171" i="1"/>
  <c r="CQ180" i="1"/>
  <c r="AE178" i="1"/>
  <c r="CQ181" i="1"/>
  <c r="AC186" i="1"/>
  <c r="CG186" i="1"/>
  <c r="CQ188" i="1"/>
  <c r="CQ195" i="1"/>
  <c r="AM193" i="1"/>
  <c r="BA193" i="1"/>
  <c r="BM193" i="1"/>
  <c r="CA193" i="1"/>
  <c r="AG203" i="1"/>
  <c r="AW203" i="1"/>
  <c r="BI203" i="1"/>
  <c r="BW203" i="1"/>
  <c r="BS208" i="1"/>
  <c r="CE208" i="1"/>
  <c r="CQ99" i="1"/>
  <c r="CQ101" i="1"/>
  <c r="CQ110" i="1"/>
  <c r="CQ121" i="1"/>
  <c r="CQ137" i="1"/>
  <c r="CQ152" i="1"/>
  <c r="CP189" i="1"/>
  <c r="CQ118" i="1"/>
  <c r="CQ159" i="1"/>
  <c r="CQ160" i="1"/>
  <c r="CQ176" i="1"/>
  <c r="CQ177" i="1"/>
  <c r="S178" i="1"/>
  <c r="AW178" i="1"/>
  <c r="BI178" i="1"/>
  <c r="CA178" i="1"/>
  <c r="CQ190" i="1"/>
  <c r="CQ189" i="1" s="1"/>
  <c r="CQ207" i="1"/>
  <c r="CQ89" i="1"/>
  <c r="CQ107" i="1"/>
  <c r="W124" i="1"/>
  <c r="CQ124" i="1" s="1"/>
  <c r="CQ132" i="1"/>
  <c r="CQ140" i="1"/>
  <c r="AG151" i="1"/>
  <c r="CQ151" i="1" s="1"/>
  <c r="CP152" i="1"/>
  <c r="U178" i="1"/>
  <c r="AI178" i="1"/>
  <c r="AY178" i="1"/>
  <c r="BK178" i="1"/>
  <c r="BY178" i="1"/>
  <c r="CQ183" i="1"/>
  <c r="CQ196" i="1"/>
  <c r="AO203" i="1"/>
  <c r="BC203" i="1"/>
  <c r="BO203" i="1"/>
  <c r="Q203" i="1"/>
  <c r="CA203" i="1"/>
  <c r="AC76" i="1"/>
  <c r="AS76" i="1"/>
  <c r="BE76" i="1"/>
  <c r="BS76" i="1"/>
  <c r="CE76" i="1"/>
  <c r="CQ78" i="1"/>
  <c r="AE76" i="1"/>
  <c r="BW76" i="1"/>
  <c r="V81" i="1"/>
  <c r="V290" i="1" s="1"/>
  <c r="V302" i="1" s="1"/>
  <c r="AM81" i="1"/>
  <c r="CQ88" i="1"/>
  <c r="CQ90" i="1"/>
  <c r="CQ106" i="1"/>
  <c r="CQ108" i="1"/>
  <c r="CQ115" i="1"/>
  <c r="CQ130" i="1"/>
  <c r="W146" i="1"/>
  <c r="CQ146" i="1" s="1"/>
  <c r="W161" i="1"/>
  <c r="CQ161" i="1" s="1"/>
  <c r="CP162" i="1"/>
  <c r="CP168" i="1"/>
  <c r="CQ175" i="1"/>
  <c r="AM178" i="1"/>
  <c r="CQ182" i="1"/>
  <c r="AE193" i="1"/>
  <c r="AU193" i="1"/>
  <c r="BG193" i="1"/>
  <c r="BU193" i="1"/>
  <c r="CE203" i="1"/>
  <c r="BU76" i="1"/>
  <c r="CG76" i="1"/>
  <c r="Y81" i="1"/>
  <c r="BC81" i="1"/>
  <c r="BO81" i="1"/>
  <c r="CC81" i="1"/>
  <c r="CA81" i="1"/>
  <c r="CQ86" i="1"/>
  <c r="CQ94" i="1"/>
  <c r="CQ96" i="1"/>
  <c r="CQ98" i="1"/>
  <c r="CQ102" i="1"/>
  <c r="CQ104" i="1"/>
  <c r="CQ113" i="1"/>
  <c r="W120" i="1"/>
  <c r="CQ120" i="1" s="1"/>
  <c r="CP131" i="1"/>
  <c r="W136" i="1"/>
  <c r="CQ136" i="1" s="1"/>
  <c r="W143" i="1"/>
  <c r="CQ143" i="1" s="1"/>
  <c r="W155" i="1"/>
  <c r="CQ155" i="1" s="1"/>
  <c r="W157" i="1"/>
  <c r="CQ157" i="1" s="1"/>
  <c r="AG162" i="1"/>
  <c r="CQ162" i="1" s="1"/>
  <c r="CP163" i="1"/>
  <c r="CP171" i="1"/>
  <c r="AM171" i="1"/>
  <c r="BA171" i="1"/>
  <c r="BM171" i="1"/>
  <c r="CE171" i="1"/>
  <c r="CQ173" i="1"/>
  <c r="CQ174" i="1"/>
  <c r="AG171" i="1"/>
  <c r="CI171" i="1"/>
  <c r="Y178" i="1"/>
  <c r="AO178" i="1"/>
  <c r="BC178" i="1"/>
  <c r="BO178" i="1"/>
  <c r="CC178" i="1"/>
  <c r="AC178" i="1"/>
  <c r="AS178" i="1"/>
  <c r="BE178" i="1"/>
  <c r="CG178" i="1"/>
  <c r="CQ185" i="1"/>
  <c r="BC186" i="1"/>
  <c r="BO186" i="1"/>
  <c r="S189" i="1"/>
  <c r="CP191" i="1"/>
  <c r="S193" i="1"/>
  <c r="AG193" i="1"/>
  <c r="BW193" i="1"/>
  <c r="CI193" i="1"/>
  <c r="Q186" i="1"/>
  <c r="AC193" i="1"/>
  <c r="AS193" i="1"/>
  <c r="BE193" i="1"/>
  <c r="BS193" i="1"/>
  <c r="CE193" i="1"/>
  <c r="CQ200" i="1"/>
  <c r="CG203" i="1"/>
  <c r="AM208" i="1"/>
  <c r="BA208" i="1"/>
  <c r="BM208" i="1"/>
  <c r="CO208" i="1"/>
  <c r="CO290" i="1" s="1"/>
  <c r="CO302" i="1" s="1"/>
  <c r="AC208" i="1"/>
  <c r="AG215" i="1"/>
  <c r="AW215" i="1"/>
  <c r="BI215" i="1"/>
  <c r="W222" i="1"/>
  <c r="AM222" i="1"/>
  <c r="BA222" i="1"/>
  <c r="BM222" i="1"/>
  <c r="CA222" i="1"/>
  <c r="CQ238" i="1"/>
  <c r="AW237" i="1"/>
  <c r="BI237" i="1"/>
  <c r="CQ246" i="1"/>
  <c r="AC273" i="1"/>
  <c r="AS273" i="1"/>
  <c r="BE273" i="1"/>
  <c r="Y233" i="1"/>
  <c r="CC233" i="1"/>
  <c r="AS237" i="1"/>
  <c r="BE237" i="1"/>
  <c r="AY242" i="1"/>
  <c r="BK242" i="1"/>
  <c r="AE242" i="1"/>
  <c r="CQ214" i="1"/>
  <c r="AW208" i="1"/>
  <c r="BI208" i="1"/>
  <c r="W215" i="1"/>
  <c r="AS222" i="1"/>
  <c r="BE222" i="1"/>
  <c r="CQ239" i="1"/>
  <c r="CQ241" i="1"/>
  <c r="W242" i="1"/>
  <c r="CA242" i="1"/>
  <c r="CQ271" i="1"/>
  <c r="CQ272" i="1"/>
  <c r="CQ219" i="1"/>
  <c r="CQ229" i="1"/>
  <c r="CQ235" i="1"/>
  <c r="AE233" i="1"/>
  <c r="AU233" i="1"/>
  <c r="BG233" i="1"/>
  <c r="CQ240" i="1"/>
  <c r="AG237" i="1"/>
  <c r="Y242" i="1"/>
  <c r="BC242" i="1"/>
  <c r="BO242" i="1"/>
  <c r="CC242" i="1"/>
  <c r="CQ249" i="1"/>
  <c r="CQ252" i="1"/>
  <c r="AM242" i="1"/>
  <c r="CQ257" i="1"/>
  <c r="CQ267" i="1"/>
  <c r="CQ276" i="1"/>
  <c r="CQ279" i="1"/>
  <c r="CQ282" i="1"/>
  <c r="W273" i="1"/>
  <c r="BA273" i="1"/>
  <c r="BM273" i="1"/>
  <c r="CA273" i="1"/>
  <c r="CQ287" i="1"/>
  <c r="CQ212" i="1"/>
  <c r="CQ213" i="1"/>
  <c r="BS215" i="1"/>
  <c r="CE215" i="1"/>
  <c r="CQ220" i="1"/>
  <c r="AG222" i="1"/>
  <c r="CQ226" i="1"/>
  <c r="CQ228" i="1"/>
  <c r="CQ236" i="1"/>
  <c r="AC237" i="1"/>
  <c r="BS237" i="1"/>
  <c r="AS242" i="1"/>
  <c r="BE242" i="1"/>
  <c r="CQ258" i="1"/>
  <c r="CQ268" i="1"/>
  <c r="CQ205" i="1"/>
  <c r="BW215" i="1"/>
  <c r="CI215" i="1"/>
  <c r="CQ218" i="1"/>
  <c r="AI215" i="1"/>
  <c r="CA215" i="1"/>
  <c r="Q237" i="1"/>
  <c r="AE237" i="1"/>
  <c r="AU237" i="1"/>
  <c r="BG237" i="1"/>
  <c r="BW237" i="1"/>
  <c r="W237" i="1"/>
  <c r="AM237" i="1"/>
  <c r="BA237" i="1"/>
  <c r="BM237" i="1"/>
  <c r="S242" i="1"/>
  <c r="AW242" i="1"/>
  <c r="BI242" i="1"/>
  <c r="BW242" i="1"/>
  <c r="CI242" i="1"/>
  <c r="CQ247" i="1"/>
  <c r="BU242" i="1"/>
  <c r="CG242" i="1"/>
  <c r="CQ248" i="1"/>
  <c r="CQ278" i="1"/>
  <c r="CQ281" i="1"/>
  <c r="CQ284" i="1"/>
  <c r="CQ289" i="1"/>
  <c r="CP24" i="1"/>
  <c r="CQ30" i="1"/>
  <c r="CP11" i="1"/>
  <c r="CP49" i="1"/>
  <c r="CP67" i="1"/>
  <c r="CP61" i="1"/>
  <c r="CQ28" i="1"/>
  <c r="Y37" i="1"/>
  <c r="CC37" i="1"/>
  <c r="AQ290" i="1"/>
  <c r="AQ302" i="1" s="1"/>
  <c r="CM290" i="1"/>
  <c r="CM302" i="1" s="1"/>
  <c r="AI12" i="1"/>
  <c r="AI11" i="1" s="1"/>
  <c r="CQ29" i="1"/>
  <c r="CP35" i="1"/>
  <c r="CP37" i="1"/>
  <c r="CP44" i="1"/>
  <c r="CP46" i="1"/>
  <c r="AD49" i="1"/>
  <c r="AD290" i="1" s="1"/>
  <c r="AD302" i="1" s="1"/>
  <c r="AI57" i="1"/>
  <c r="AI49" i="1" s="1"/>
  <c r="T67" i="1"/>
  <c r="T290" i="1" s="1"/>
  <c r="T302" i="1" s="1"/>
  <c r="CQ75" i="1"/>
  <c r="U35" i="1"/>
  <c r="AO37" i="1"/>
  <c r="BS37" i="1"/>
  <c r="CE37" i="1"/>
  <c r="CQ42" i="1"/>
  <c r="U44" i="1"/>
  <c r="U46" i="1"/>
  <c r="S49" i="1"/>
  <c r="CQ65" i="1"/>
  <c r="Q24" i="1"/>
  <c r="Q26" i="1"/>
  <c r="AI26" i="1"/>
  <c r="AW26" i="1"/>
  <c r="BI26" i="1"/>
  <c r="S30" i="1"/>
  <c r="AF302" i="1"/>
  <c r="AF3" i="1" s="1"/>
  <c r="AC37" i="1"/>
  <c r="AI37" i="1"/>
  <c r="BC37" i="1"/>
  <c r="BO37" i="1"/>
  <c r="CQ38" i="1"/>
  <c r="AE51" i="1"/>
  <c r="CQ51" i="1" s="1"/>
  <c r="Q67" i="1"/>
  <c r="CQ72" i="1"/>
  <c r="CP73" i="1"/>
  <c r="Q76" i="1"/>
  <c r="AU76" i="1"/>
  <c r="BG76" i="1"/>
  <c r="AH49" i="1"/>
  <c r="CQ68" i="1"/>
  <c r="CQ77" i="1"/>
  <c r="CP76" i="1"/>
  <c r="S81" i="1"/>
  <c r="CP92" i="1"/>
  <c r="CP118" i="1"/>
  <c r="CP130" i="1"/>
  <c r="W135" i="1"/>
  <c r="CQ135" i="1" s="1"/>
  <c r="W145" i="1"/>
  <c r="CQ145" i="1" s="1"/>
  <c r="CP149" i="1"/>
  <c r="AG156" i="1"/>
  <c r="CQ156" i="1" s="1"/>
  <c r="W163" i="1"/>
  <c r="CQ163" i="1" s="1"/>
  <c r="CQ168" i="1"/>
  <c r="CQ170" i="1"/>
  <c r="CP167" i="1"/>
  <c r="W167" i="1"/>
  <c r="CQ167" i="1" s="1"/>
  <c r="CQ169" i="1"/>
  <c r="CQ199" i="1"/>
  <c r="CQ83" i="1"/>
  <c r="CP153" i="1"/>
  <c r="W153" i="1"/>
  <c r="CQ153" i="1" s="1"/>
  <c r="CQ186" i="1"/>
  <c r="CQ95" i="1"/>
  <c r="AG116" i="1"/>
  <c r="W126" i="1"/>
  <c r="CQ126" i="1" s="1"/>
  <c r="AG128" i="1"/>
  <c r="CQ128" i="1" s="1"/>
  <c r="AG131" i="1"/>
  <c r="CQ131" i="1" s="1"/>
  <c r="AG148" i="1"/>
  <c r="CQ148" i="1" s="1"/>
  <c r="CP150" i="1"/>
  <c r="CP158" i="1"/>
  <c r="W166" i="1"/>
  <c r="CQ166" i="1" s="1"/>
  <c r="CQ172" i="1"/>
  <c r="CP116" i="1"/>
  <c r="W164" i="1"/>
  <c r="CQ164" i="1" s="1"/>
  <c r="CP164" i="1"/>
  <c r="CP178" i="1"/>
  <c r="CQ194" i="1"/>
  <c r="CP197" i="1"/>
  <c r="CP201" i="1"/>
  <c r="CQ206" i="1"/>
  <c r="CP208" i="1"/>
  <c r="U208" i="1"/>
  <c r="AY208" i="1"/>
  <c r="BK208" i="1"/>
  <c r="BY208" i="1"/>
  <c r="BY290" i="1" s="1"/>
  <c r="BY302" i="1" s="1"/>
  <c r="AI208" i="1"/>
  <c r="CK208" i="1"/>
  <c r="CQ211" i="1"/>
  <c r="AS208" i="1"/>
  <c r="BE208" i="1"/>
  <c r="Q215" i="1"/>
  <c r="AE215" i="1"/>
  <c r="AU215" i="1"/>
  <c r="BG215" i="1"/>
  <c r="BU215" i="1"/>
  <c r="CG215" i="1"/>
  <c r="AS215" i="1"/>
  <c r="BE215" i="1"/>
  <c r="U222" i="1"/>
  <c r="AI222" i="1"/>
  <c r="AY222" i="1"/>
  <c r="BK222" i="1"/>
  <c r="BY222" i="1"/>
  <c r="CK222" i="1"/>
  <c r="CQ224" i="1"/>
  <c r="CQ227" i="1"/>
  <c r="CQ192" i="1"/>
  <c r="W193" i="1"/>
  <c r="CQ198" i="1"/>
  <c r="CQ202" i="1"/>
  <c r="R203" i="1"/>
  <c r="R290" i="1" s="1"/>
  <c r="R302" i="1" s="1"/>
  <c r="S204" i="1"/>
  <c r="CP233" i="1"/>
  <c r="CP204" i="1"/>
  <c r="CQ217" i="1"/>
  <c r="S215" i="1"/>
  <c r="S171" i="1"/>
  <c r="Q178" i="1"/>
  <c r="CQ179" i="1"/>
  <c r="CP199" i="1"/>
  <c r="AM215" i="1"/>
  <c r="AM290" i="1" s="1"/>
  <c r="AM302" i="1" s="1"/>
  <c r="BA215" i="1"/>
  <c r="BM215" i="1"/>
  <c r="AC222" i="1"/>
  <c r="BS222" i="1"/>
  <c r="CE222" i="1"/>
  <c r="CQ230" i="1"/>
  <c r="CQ209" i="1"/>
  <c r="Q208" i="1"/>
  <c r="AE208" i="1"/>
  <c r="AU208" i="1"/>
  <c r="BG208" i="1"/>
  <c r="BU208" i="1"/>
  <c r="BU290" i="1" s="1"/>
  <c r="BU302" i="1" s="1"/>
  <c r="CG208" i="1"/>
  <c r="CQ216" i="1"/>
  <c r="CQ223" i="1"/>
  <c r="Q222" i="1"/>
  <c r="S208" i="1"/>
  <c r="AG208" i="1"/>
  <c r="BW208" i="1"/>
  <c r="CI208" i="1"/>
  <c r="CQ225" i="1"/>
  <c r="CQ232" i="1"/>
  <c r="CQ244" i="1"/>
  <c r="CQ210" i="1"/>
  <c r="CQ234" i="1"/>
  <c r="CQ254" i="1"/>
  <c r="AM273" i="1"/>
  <c r="CP273" i="1"/>
  <c r="Q242" i="1"/>
  <c r="CQ288" i="1"/>
  <c r="CQ243" i="1"/>
  <c r="CQ251" i="1"/>
  <c r="CQ256" i="1"/>
  <c r="CQ269" i="1"/>
  <c r="Y273" i="1"/>
  <c r="BC273" i="1"/>
  <c r="BO273" i="1"/>
  <c r="CC273" i="1"/>
  <c r="CQ275" i="1"/>
  <c r="CQ264" i="1"/>
  <c r="CQ285" i="1"/>
  <c r="CQ259" i="1"/>
  <c r="CQ261" i="1"/>
  <c r="CQ265" i="1"/>
  <c r="CQ266" i="1"/>
  <c r="S273" i="1"/>
  <c r="CQ274" i="1"/>
  <c r="AW273" i="1"/>
  <c r="BI273" i="1"/>
  <c r="BW273" i="1"/>
  <c r="CI273" i="1"/>
  <c r="CQ286" i="1"/>
  <c r="CQ62" i="1" l="1"/>
  <c r="CQ61" i="1" s="1"/>
  <c r="AH290" i="1"/>
  <c r="AH302" i="1" s="1"/>
  <c r="CC290" i="1"/>
  <c r="CC302" i="1" s="1"/>
  <c r="CQ237" i="1"/>
  <c r="BW290" i="1"/>
  <c r="BW302" i="1" s="1"/>
  <c r="CG290" i="1"/>
  <c r="CG302" i="1" s="1"/>
  <c r="BA290" i="1"/>
  <c r="BA302" i="1" s="1"/>
  <c r="CQ25" i="1"/>
  <c r="CQ24" i="1" s="1"/>
  <c r="BM290" i="1"/>
  <c r="BM302" i="1" s="1"/>
  <c r="AA290" i="1"/>
  <c r="AA302" i="1" s="1"/>
  <c r="CK290" i="1"/>
  <c r="CK302" i="1" s="1"/>
  <c r="BO290" i="1"/>
  <c r="BO302" i="1" s="1"/>
  <c r="BK290" i="1"/>
  <c r="BK302" i="1" s="1"/>
  <c r="AU290" i="1"/>
  <c r="AU302" i="1" s="1"/>
  <c r="CI290" i="1"/>
  <c r="AS290" i="1"/>
  <c r="AS302" i="1" s="1"/>
  <c r="AY290" i="1"/>
  <c r="AY302" i="1" s="1"/>
  <c r="Q290" i="1"/>
  <c r="Q302" i="1" s="1"/>
  <c r="AG81" i="1"/>
  <c r="AG290" i="1" s="1"/>
  <c r="AG302" i="1" s="1"/>
  <c r="AG3" i="1" s="1"/>
  <c r="BI290" i="1"/>
  <c r="BI302" i="1" s="1"/>
  <c r="AW290" i="1"/>
  <c r="AW302" i="1" s="1"/>
  <c r="U290" i="1"/>
  <c r="U302" i="1" s="1"/>
  <c r="CB302" i="1"/>
  <c r="BG290" i="1"/>
  <c r="BG302" i="1" s="1"/>
  <c r="CA290" i="1"/>
  <c r="CA302" i="1" s="1"/>
  <c r="BE290" i="1"/>
  <c r="BE302" i="1" s="1"/>
  <c r="CQ204" i="1"/>
  <c r="S203" i="1"/>
  <c r="S290" i="1" s="1"/>
  <c r="S302" i="1" s="1"/>
  <c r="CP81" i="1"/>
  <c r="CQ76" i="1"/>
  <c r="CQ171" i="1"/>
  <c r="W81" i="1"/>
  <c r="W290" i="1" s="1"/>
  <c r="CQ67" i="1"/>
  <c r="CE290" i="1"/>
  <c r="AE49" i="1"/>
  <c r="AE290" i="1" s="1"/>
  <c r="AE302" i="1" s="1"/>
  <c r="CQ231" i="1"/>
  <c r="CQ201" i="1"/>
  <c r="CQ193" i="1"/>
  <c r="CQ37" i="1"/>
  <c r="AO290" i="1"/>
  <c r="CQ41" i="1"/>
  <c r="CQ12" i="1"/>
  <c r="CQ57" i="1"/>
  <c r="CQ222" i="1"/>
  <c r="CQ197" i="1"/>
  <c r="CP71" i="1"/>
  <c r="CQ116" i="1"/>
  <c r="AI290" i="1"/>
  <c r="AI302" i="1" s="1"/>
  <c r="CQ233" i="1"/>
  <c r="CQ71" i="1"/>
  <c r="CQ64" i="1"/>
  <c r="CQ26" i="1"/>
  <c r="CQ242" i="1"/>
  <c r="CQ273" i="1"/>
  <c r="CQ208" i="1"/>
  <c r="CQ178" i="1"/>
  <c r="CP203" i="1"/>
  <c r="CQ191" i="1"/>
  <c r="BS290" i="1"/>
  <c r="BS302" i="1" s="1"/>
  <c r="BC290" i="1"/>
  <c r="BC302" i="1" s="1"/>
  <c r="CQ74" i="1"/>
  <c r="AC290" i="1"/>
  <c r="AC302" i="1" s="1"/>
  <c r="Y290" i="1"/>
  <c r="Y302" i="1" s="1"/>
  <c r="CQ215" i="1"/>
  <c r="CP290" i="1" l="1"/>
  <c r="CI302" i="1"/>
  <c r="CP302" i="1"/>
  <c r="CQ81" i="1"/>
  <c r="CQ203" i="1"/>
  <c r="AO302" i="1"/>
  <c r="CQ49" i="1"/>
  <c r="CQ11" i="1"/>
  <c r="W302" i="1"/>
  <c r="CE302" i="1"/>
  <c r="CQ290" i="1" l="1"/>
  <c r="CQ302" i="1"/>
  <c r="AS3" i="1" l="1"/>
</calcChain>
</file>

<file path=xl/sharedStrings.xml><?xml version="1.0" encoding="utf-8"?>
<sst xmlns="http://schemas.openxmlformats.org/spreadsheetml/2006/main" count="800" uniqueCount="709">
  <si>
    <t xml:space="preserve">Приложение №4
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</si>
  <si>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2024 год              
</t>
  </si>
  <si>
    <t>Код профиля</t>
  </si>
  <si>
    <t>№</t>
  </si>
  <si>
    <t>Код КСГ 2024</t>
  </si>
  <si>
    <t>КПГ / КСГ</t>
  </si>
  <si>
    <t>базовая ставка на 2024 (16026) с 01.01.2024</t>
  </si>
  <si>
    <t>базовая ставка на 2024 (16026*1,05) c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</si>
  <si>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</si>
  <si>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</si>
  <si>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</si>
  <si>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</si>
  <si>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</si>
  <si>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</si>
  <si>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</si>
  <si>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</si>
  <si>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</si>
  <si>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</si>
  <si>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</si>
  <si>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
г.Хабаровск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</si>
  <si>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</si>
  <si>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</si>
  <si>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</si>
  <si>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rPr>
        <b/>
        <i/>
        <sz val="11"/>
        <color theme="1"/>
        <rFont val="Times New Roman"/>
        <family val="1"/>
        <charset val="204"/>
      </rPr>
      <t>ФАКТ 8 мес</t>
    </r>
    <r>
      <rPr>
        <i/>
        <sz val="11"/>
        <color theme="1"/>
        <rFont val="Times New Roman"/>
        <family val="1"/>
        <charset val="204"/>
      </rPr>
      <t xml:space="preserve">.
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</si>
  <si>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</si>
  <si>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</si>
  <si>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</si>
  <si>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</si>
  <si>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</si>
  <si>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</si>
  <si>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</si>
  <si>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</si>
  <si>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</si>
  <si>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</si>
  <si>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</si>
  <si>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</si>
  <si>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</si>
  <si>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</si>
  <si>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</si>
  <si>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</si>
  <si>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</si>
  <si>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</si>
  <si>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</si>
  <si>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</si>
  <si>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</si>
  <si>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</si>
  <si>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</si>
  <si>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</si>
  <si>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</si>
  <si>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</si>
  <si>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</si>
  <si>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ООО "Медикъ"</t>
  </si>
  <si>
    <t>ИТОГО СДП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</si>
  <si>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</si>
  <si>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</si>
  <si>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</si>
  <si>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</si>
  <si>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</si>
  <si>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</si>
  <si>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0310001</t>
  </si>
  <si>
    <t>0252001</t>
  </si>
  <si>
    <t>0351001</t>
  </si>
  <si>
    <t>0252002</t>
  </si>
  <si>
    <t>0351002</t>
  </si>
  <si>
    <t>4346001</t>
  </si>
  <si>
    <t>2141010</t>
  </si>
  <si>
    <t>4346004</t>
  </si>
  <si>
    <t>2144011</t>
  </si>
  <si>
    <t>2241001</t>
  </si>
  <si>
    <t>2241009</t>
  </si>
  <si>
    <t>2223001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</si>
  <si>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</si>
  <si>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</si>
  <si>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</si>
  <si>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</si>
  <si>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</si>
  <si>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</si>
  <si>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</si>
  <si>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</si>
  <si>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</si>
  <si>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</si>
  <si>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</si>
  <si>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</si>
  <si>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</si>
  <si>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</si>
  <si>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</si>
  <si>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</si>
  <si>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</si>
  <si>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</si>
  <si>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</si>
  <si>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</si>
  <si>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</si>
  <si>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3138223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</si>
  <si>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</si>
  <si>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</si>
  <si>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</si>
  <si>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</si>
  <si>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</si>
  <si>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</si>
  <si>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</si>
  <si>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</si>
  <si>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</si>
  <si>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</si>
  <si>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</si>
  <si>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</si>
  <si>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</si>
  <si>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</si>
  <si>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</si>
  <si>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</si>
  <si>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</si>
  <si>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</si>
  <si>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</si>
  <si>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</si>
  <si>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</si>
  <si>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</si>
  <si>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</si>
  <si>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</si>
  <si>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</si>
  <si>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</si>
  <si>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</si>
  <si>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</si>
  <si>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</si>
  <si>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</si>
  <si>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</si>
  <si>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</si>
  <si>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</si>
  <si>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</si>
  <si>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</si>
  <si>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</si>
  <si>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</si>
  <si>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</si>
  <si>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</si>
  <si>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</si>
  <si>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</si>
  <si>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</si>
  <si>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</si>
  <si>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</si>
  <si>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</si>
  <si>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</si>
  <si>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</si>
  <si>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</si>
  <si>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</si>
  <si>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</si>
  <si>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</si>
  <si>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</si>
  <si>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</si>
  <si>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</si>
  <si>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</si>
  <si>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</si>
  <si>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</si>
  <si>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</si>
  <si>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</si>
  <si>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</si>
  <si>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</si>
  <si>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</si>
  <si>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</si>
  <si>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</si>
  <si>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</si>
  <si>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</si>
  <si>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</si>
  <si>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</si>
  <si>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</si>
  <si>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</si>
  <si>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</si>
  <si>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</si>
  <si>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</si>
  <si>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</si>
  <si>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</si>
  <si>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</si>
  <si>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</si>
  <si>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</si>
  <si>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</si>
  <si>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</si>
  <si>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</si>
  <si>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</si>
  <si>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</si>
  <si>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</si>
  <si>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</si>
  <si>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</si>
  <si>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</si>
  <si>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</si>
  <si>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</si>
  <si>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</si>
  <si>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</si>
  <si>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</si>
  <si>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</si>
  <si>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</si>
  <si>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</si>
  <si>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</si>
  <si>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</si>
  <si>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</si>
  <si>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</si>
  <si>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</si>
  <si>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</si>
  <si>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</si>
  <si>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</si>
  <si>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</si>
  <si>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</si>
  <si>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</si>
  <si>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</si>
  <si>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</si>
  <si>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</si>
  <si>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</si>
  <si>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</si>
  <si>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</si>
  <si>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</si>
  <si>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</si>
  <si>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</si>
  <si>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</si>
  <si>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</si>
  <si>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</si>
  <si>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</si>
  <si>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</si>
  <si>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</si>
  <si>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</si>
  <si>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</si>
  <si>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</si>
  <si>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</si>
  <si>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</si>
  <si>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</si>
  <si>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</si>
  <si>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</si>
  <si>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</si>
  <si>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</si>
  <si>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</si>
  <si>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</si>
  <si>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</si>
  <si>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</si>
  <si>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</si>
  <si>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</si>
  <si>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</si>
  <si>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</si>
  <si>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</si>
  <si>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</si>
  <si>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</si>
  <si>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</si>
  <si>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</si>
  <si>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</si>
  <si>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</si>
  <si>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</si>
  <si>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</si>
  <si>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</si>
  <si>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</si>
  <si>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</si>
  <si>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</si>
  <si>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</si>
  <si>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</si>
  <si>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</si>
  <si>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</si>
  <si>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</si>
  <si>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</si>
  <si>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</si>
  <si>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</si>
  <si>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</si>
  <si>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</si>
  <si>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</si>
  <si>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</si>
  <si>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</si>
  <si>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</si>
  <si>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</si>
  <si>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</si>
  <si>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</si>
  <si>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</si>
  <si>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</si>
  <si>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</si>
  <si>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</si>
  <si>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</si>
  <si>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</si>
  <si>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</si>
  <si>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</si>
  <si>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</si>
  <si>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</si>
  <si>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</si>
  <si>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</si>
  <si>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</si>
  <si>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</si>
  <si>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</si>
  <si>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</si>
  <si>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</si>
  <si>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</si>
  <si>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</si>
  <si>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</si>
  <si>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</si>
  <si>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</si>
  <si>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</si>
  <si>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</si>
  <si>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</si>
  <si>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</si>
  <si>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</si>
  <si>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</si>
  <si>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</si>
  <si>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</si>
  <si>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</si>
  <si>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</si>
  <si>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</si>
  <si>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</si>
  <si>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</si>
  <si>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</si>
  <si>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</si>
  <si>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</si>
  <si>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</si>
  <si>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</si>
  <si>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</si>
  <si>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</si>
  <si>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</si>
  <si>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</si>
  <si>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</si>
  <si>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</si>
  <si>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</si>
  <si>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</si>
  <si>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</si>
  <si>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</si>
  <si>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</si>
  <si>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</si>
  <si>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</si>
  <si>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</si>
  <si>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</si>
  <si>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</si>
  <si>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</si>
  <si>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</si>
  <si>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</si>
  <si>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</si>
  <si>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</si>
  <si>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</si>
  <si>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</si>
  <si>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</si>
  <si>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</si>
  <si>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</si>
  <si>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</si>
  <si>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</si>
  <si>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</si>
  <si>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</si>
  <si>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</si>
  <si>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</si>
  <si>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</si>
  <si>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</si>
  <si>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</si>
  <si>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</si>
  <si>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</si>
  <si>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</si>
  <si>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</si>
  <si>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</si>
  <si>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</si>
  <si>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</si>
  <si>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</si>
  <si>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</si>
  <si>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</si>
  <si>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</si>
  <si>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</si>
  <si>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</si>
  <si>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</si>
  <si>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</si>
  <si>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</si>
  <si>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</si>
  <si>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</si>
  <si>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</si>
  <si>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</si>
  <si>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</si>
  <si>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</si>
  <si>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</si>
  <si>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</si>
  <si>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</si>
  <si>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</si>
  <si>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</si>
  <si>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</si>
  <si>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</si>
  <si>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</si>
  <si>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</si>
  <si>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</si>
  <si>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</si>
  <si>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</si>
  <si>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</si>
  <si>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</si>
  <si>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</si>
  <si>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</si>
  <si>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</si>
  <si>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</si>
  <si>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</si>
  <si>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</si>
  <si>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</si>
  <si>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</si>
  <si>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</si>
  <si>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</si>
  <si>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</si>
  <si>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</si>
  <si>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</si>
  <si>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</si>
  <si>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</si>
  <si>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</si>
  <si>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</si>
  <si>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</si>
  <si>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</si>
  <si>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</si>
  <si>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</si>
  <si>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</si>
  <si>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</si>
  <si>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</si>
  <si>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</si>
  <si>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</si>
  <si>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</si>
  <si>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</si>
  <si>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</si>
  <si>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</si>
  <si>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</si>
  <si>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</si>
  <si>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</si>
  <si>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</si>
  <si>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</si>
  <si>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</si>
  <si>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</si>
  <si>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</si>
  <si>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</si>
  <si>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</si>
  <si>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</si>
  <si>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</si>
  <si>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</si>
  <si>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</si>
  <si>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</si>
  <si>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</si>
  <si>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</si>
  <si>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</si>
  <si>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</si>
  <si>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</si>
  <si>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</si>
  <si>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</si>
  <si>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</si>
  <si>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</si>
  <si>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</si>
  <si>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</si>
  <si>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</si>
  <si>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</si>
  <si>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</si>
  <si>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</si>
  <si>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</si>
  <si>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</si>
  <si>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</si>
  <si>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</si>
  <si>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</si>
  <si>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</si>
  <si>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</si>
  <si>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</si>
  <si>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</si>
  <si>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</si>
  <si>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</si>
  <si>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</si>
  <si>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</si>
  <si>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</si>
  <si>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</si>
  <si>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</si>
  <si>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</si>
  <si>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</si>
  <si>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</si>
  <si>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</si>
  <si>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</si>
  <si>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</si>
  <si>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</si>
  <si>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</si>
  <si>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</si>
  <si>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</si>
  <si>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</si>
  <si>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</si>
  <si>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</si>
  <si>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</si>
  <si>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</si>
  <si>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</si>
  <si>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</si>
  <si>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</si>
  <si>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</si>
  <si>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</si>
  <si>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</si>
  <si>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</si>
  <si>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</si>
  <si>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</si>
  <si>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</si>
  <si>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</si>
  <si>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</si>
  <si>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</si>
  <si>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</si>
  <si>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</si>
  <si>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</si>
  <si>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</si>
  <si>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</si>
  <si>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</si>
  <si>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</si>
  <si>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</si>
  <si>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</si>
  <si>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</si>
  <si>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</si>
  <si>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</si>
  <si>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</si>
  <si>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</si>
  <si>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</si>
  <si>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</si>
  <si>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</si>
  <si>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</si>
  <si>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</si>
  <si>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</si>
  <si>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</si>
  <si>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</si>
  <si>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</si>
  <si>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</si>
  <si>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</si>
  <si>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</si>
  <si>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</si>
  <si>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</si>
  <si>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</si>
  <si>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</si>
  <si>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</si>
  <si>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</si>
  <si>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</si>
  <si>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</si>
  <si>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</si>
  <si>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</si>
  <si>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</si>
  <si>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</si>
  <si>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</si>
  <si>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</si>
  <si>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</si>
  <si>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</si>
  <si>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</si>
  <si>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</si>
  <si>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</si>
  <si>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</si>
  <si>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</si>
  <si>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</si>
  <si>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</si>
  <si>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</si>
  <si>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</si>
  <si>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</si>
  <si>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</si>
  <si>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</si>
  <si>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</si>
  <si>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</si>
  <si>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</si>
  <si>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</si>
  <si>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</si>
  <si>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</si>
  <si>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</si>
  <si>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</si>
  <si>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</si>
  <si>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</si>
  <si>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</si>
  <si>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</si>
  <si>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</si>
  <si>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</si>
  <si>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</si>
  <si>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</si>
  <si>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</si>
  <si>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</si>
  <si>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</si>
  <si>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</si>
  <si>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</si>
  <si>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</si>
  <si>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</si>
  <si>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</si>
  <si>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</si>
  <si>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</si>
  <si>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</si>
  <si>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</si>
  <si>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</si>
  <si>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</si>
  <si>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</si>
  <si>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</si>
  <si>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</si>
  <si>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</si>
  <si>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</si>
  <si>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</si>
  <si>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</si>
  <si>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</si>
  <si>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</si>
  <si>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</si>
  <si>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</si>
  <si>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</si>
  <si>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</si>
  <si>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</si>
  <si>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</si>
  <si>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</si>
  <si>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</si>
  <si>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</si>
  <si>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</si>
  <si>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</si>
  <si>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</si>
  <si>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</si>
  <si>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</si>
  <si>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</si>
  <si>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</si>
  <si>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</si>
  <si>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</si>
  <si>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</si>
  <si>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</si>
  <si>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</si>
  <si>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</si>
  <si>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</si>
  <si>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</si>
  <si>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</si>
  <si>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</si>
  <si>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</si>
  <si>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</si>
  <si>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</si>
  <si>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</si>
  <si>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</si>
  <si>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</si>
  <si>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</si>
  <si>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</si>
  <si>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</si>
  <si>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</si>
  <si>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</si>
  <si>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</si>
  <si>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</si>
  <si>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</si>
  <si>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</si>
  <si>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</si>
  <si>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</si>
  <si>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</si>
  <si>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</si>
  <si>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</si>
  <si>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</si>
  <si>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</si>
  <si>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</si>
  <si>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</si>
  <si>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</si>
  <si>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</si>
  <si>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</si>
  <si>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</si>
  <si>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</si>
  <si>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</si>
  <si>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</si>
  <si>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</si>
  <si>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</si>
  <si>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</si>
  <si>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</si>
  <si>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</si>
  <si>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</si>
  <si>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</si>
  <si>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</si>
  <si>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</si>
  <si>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</si>
  <si>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</si>
  <si>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</si>
  <si>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</si>
  <si>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</si>
  <si>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</si>
  <si>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</si>
  <si>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</si>
  <si>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</si>
  <si>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</si>
  <si>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</si>
  <si>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</si>
  <si>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</si>
  <si>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</si>
  <si>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</si>
  <si>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</si>
  <si>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</si>
  <si>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</si>
  <si>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</si>
  <si>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</si>
  <si>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</si>
  <si>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</si>
  <si>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</si>
  <si>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</si>
  <si>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</si>
  <si>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</si>
  <si>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</si>
  <si>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</si>
  <si>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</si>
  <si>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</si>
  <si>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</si>
  <si>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</si>
  <si>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</si>
  <si>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</si>
  <si>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</si>
  <si>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</si>
  <si>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</si>
  <si>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</si>
  <si>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</si>
  <si>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</si>
  <si>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</si>
  <si>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</si>
  <si>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</si>
  <si>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</si>
  <si>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</si>
  <si>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</si>
  <si>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</si>
  <si>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</si>
  <si>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</si>
  <si>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</si>
  <si>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</si>
  <si>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</si>
  <si>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</si>
  <si>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</si>
  <si>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</si>
  <si>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</si>
  <si>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</si>
  <si>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</si>
  <si>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16.12.2024 №11</t>
  </si>
  <si>
    <t>29.11.2024 №10</t>
  </si>
  <si>
    <t>25.10.2024 №9</t>
  </si>
  <si>
    <t>30.09.2024 №8</t>
  </si>
  <si>
    <t>30.08.2024 №7</t>
  </si>
  <si>
    <t>31.07.2024 №6</t>
  </si>
  <si>
    <t>19.06.2024 №5</t>
  </si>
  <si>
    <t>31.05.2024 №4</t>
  </si>
  <si>
    <t>27.04.2024 №3</t>
  </si>
  <si>
    <t>29.03.2024 №2</t>
  </si>
  <si>
    <t>31.01.2024 №1</t>
  </si>
  <si>
    <t>27.12.2024 №12</t>
  </si>
  <si>
    <t>к Протоколу заседания Комиссии по разработке ТП ОМС от 27.12.2024  №12</t>
  </si>
  <si>
    <t>в т.ч.подушевые</t>
  </si>
  <si>
    <t>ИТОГО СДП ( КСГ+ по подушевому)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</si>
</sst>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_-* #,##0.00\ _₽_-;\-* #,##0.00\ _₽_-;_-* &quot;-&quot;\ _₽_-;_-@_-"/>
    <numFmt numFmtId="167" formatCode="#,##0.0"/>
    <numFmt numFmtId="168" formatCode="0.000"/>
    <numFmt numFmtId="169" formatCode="0.0"/>
    <numFmt numFmtId="170" formatCode="#,##0.00_ ;\-#,##0.00\ "/>
    <numFmt numFmtId="171" formatCode="0.0%"/>
    <numFmt numFmtId="172" formatCode="_-* #,##0.00_р_._-;\-* #,##0.00_р_._-;_-* &quot;-&quot;??_р_._-;_-@_-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0"/>
      <name val="Times New Roman"/>
      <family val="2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3" fillId="0" borderId="0"/>
    <xf numFmtId="0" fontId="7" fillId="0" borderId="0"/>
    <xf numFmtId="0" fontId="7" fillId="0" borderId="0"/>
    <xf numFmtId="0" fontId="50" fillId="0" borderId="0"/>
    <xf numFmtId="0" fontId="68" fillId="0" borderId="0"/>
    <xf numFmtId="0" fontId="7" fillId="0" borderId="0"/>
    <xf numFmtId="0" fontId="7" fillId="0" borderId="0"/>
    <xf numFmtId="0" fontId="69" fillId="0" borderId="0"/>
    <xf numFmtId="0" fontId="7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7" fillId="0" borderId="0"/>
    <xf numFmtId="0" fontId="69" fillId="0" borderId="0"/>
    <xf numFmtId="0" fontId="71" fillId="0" borderId="0"/>
    <xf numFmtId="0" fontId="69" fillId="0" borderId="0"/>
    <xf numFmtId="0" fontId="9" fillId="0" borderId="0" applyFill="0" applyBorder="0" applyProtection="0">
      <alignment wrapText="1"/>
      <protection locked="0"/>
    </xf>
    <xf numFmtId="9" fontId="50" fillId="0" borderId="0" applyFont="0" applyFill="0" applyBorder="0" applyAlignment="0" applyProtection="0"/>
    <xf numFmtId="9" fontId="69" fillId="0" borderId="0" quotePrefix="1" applyFont="0" applyFill="0" applyBorder="0" applyAlignment="0">
      <protection locked="0"/>
    </xf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70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69" fillId="0" borderId="0" quotePrefix="1" applyFont="0" applyFill="0" applyBorder="0" applyAlignment="0">
      <protection locked="0"/>
    </xf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2" fontId="50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4" fillId="0" borderId="0" xfId="1" applyFont="1" applyFill="1" applyBorder="1" applyAlignment="1">
      <alignment wrapText="1"/>
    </xf>
    <xf numFmtId="0" fontId="9" fillId="0" borderId="0" xfId="3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41" fontId="12" fillId="0" borderId="0" xfId="0" applyNumberFormat="1" applyFont="1" applyFill="1" applyBorder="1" applyAlignment="1">
      <alignment vertical="center" wrapText="1"/>
    </xf>
    <xf numFmtId="41" fontId="10" fillId="0" borderId="0" xfId="0" applyNumberFormat="1" applyFont="1" applyFill="1" applyBorder="1" applyAlignment="1">
      <alignment vertical="center" wrapText="1"/>
    </xf>
    <xf numFmtId="166" fontId="10" fillId="0" borderId="0" xfId="0" applyNumberFormat="1" applyFont="1" applyFill="1" applyBorder="1" applyAlignment="1">
      <alignment vertical="center" shrinkToFit="1"/>
    </xf>
    <xf numFmtId="0" fontId="9" fillId="0" borderId="0" xfId="2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0" xfId="0" applyFont="1" applyFill="1"/>
    <xf numFmtId="165" fontId="8" fillId="0" borderId="2" xfId="2" applyNumberFormat="1" applyFont="1" applyFill="1" applyBorder="1" applyAlignment="1">
      <alignment horizontal="center" vertical="center" wrapText="1"/>
    </xf>
    <xf numFmtId="49" fontId="18" fillId="0" borderId="2" xfId="2" applyNumberFormat="1" applyFont="1" applyFill="1" applyBorder="1" applyAlignment="1">
      <alignment horizontal="center" vertical="center" wrapText="1"/>
    </xf>
    <xf numFmtId="1" fontId="25" fillId="0" borderId="2" xfId="2" applyNumberFormat="1" applyFont="1" applyFill="1" applyBorder="1" applyAlignment="1">
      <alignment horizontal="center" vertical="center" wrapText="1"/>
    </xf>
    <xf numFmtId="1" fontId="26" fillId="0" borderId="2" xfId="2" applyNumberFormat="1" applyFont="1" applyFill="1" applyBorder="1" applyAlignment="1">
      <alignment horizontal="center" vertical="center" wrapText="1"/>
    </xf>
    <xf numFmtId="1" fontId="27" fillId="0" borderId="2" xfId="3" applyNumberFormat="1" applyFont="1" applyFill="1" applyBorder="1" applyAlignment="1">
      <alignment horizontal="center" vertical="center" wrapText="1"/>
    </xf>
    <xf numFmtId="1" fontId="28" fillId="0" borderId="2" xfId="3" applyNumberFormat="1" applyFont="1" applyFill="1" applyBorder="1" applyAlignment="1">
      <alignment horizontal="center" vertical="center" wrapText="1"/>
    </xf>
    <xf numFmtId="1" fontId="29" fillId="0" borderId="2" xfId="3" applyNumberFormat="1" applyFont="1" applyFill="1" applyBorder="1" applyAlignment="1">
      <alignment horizontal="center" vertical="center" wrapText="1"/>
    </xf>
    <xf numFmtId="1" fontId="28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30" fillId="0" borderId="2" xfId="3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horizontal="center" vertical="center" wrapText="1"/>
    </xf>
    <xf numFmtId="167" fontId="31" fillId="0" borderId="2" xfId="2" applyNumberFormat="1" applyFont="1" applyFill="1" applyBorder="1" applyAlignment="1">
      <alignment horizontal="center" vertical="center" wrapText="1"/>
    </xf>
    <xf numFmtId="168" fontId="33" fillId="0" borderId="2" xfId="3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38" fillId="0" borderId="2" xfId="0" applyFont="1" applyFill="1" applyBorder="1" applyAlignment="1">
      <alignment horizontal="center" vertical="center" wrapText="1"/>
    </xf>
    <xf numFmtId="10" fontId="38" fillId="0" borderId="2" xfId="0" applyNumberFormat="1" applyFont="1" applyFill="1" applyBorder="1" applyAlignment="1">
      <alignment horizontal="center" vertical="center" wrapText="1"/>
    </xf>
    <xf numFmtId="2" fontId="39" fillId="0" borderId="2" xfId="0" applyNumberFormat="1" applyFont="1" applyFill="1" applyBorder="1" applyAlignment="1">
      <alignment horizontal="center" vertical="center" wrapText="1"/>
    </xf>
    <xf numFmtId="165" fontId="38" fillId="0" borderId="2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center" vertical="center" wrapText="1"/>
    </xf>
    <xf numFmtId="43" fontId="38" fillId="0" borderId="2" xfId="3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right" vertical="center" wrapText="1"/>
    </xf>
    <xf numFmtId="165" fontId="38" fillId="0" borderId="2" xfId="2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right"/>
    </xf>
    <xf numFmtId="0" fontId="25" fillId="0" borderId="2" xfId="0" applyFont="1" applyFill="1" applyBorder="1"/>
    <xf numFmtId="0" fontId="5" fillId="0" borderId="2" xfId="0" applyFont="1" applyFill="1" applyBorder="1" applyAlignment="1">
      <alignment horizontal="left"/>
    </xf>
    <xf numFmtId="4" fontId="38" fillId="0" borderId="2" xfId="0" applyNumberFormat="1" applyFont="1" applyFill="1" applyBorder="1" applyAlignment="1">
      <alignment horizontal="center" vertical="center" wrapText="1"/>
    </xf>
    <xf numFmtId="10" fontId="41" fillId="0" borderId="2" xfId="0" applyNumberFormat="1" applyFont="1" applyFill="1" applyBorder="1" applyAlignment="1">
      <alignment horizontal="center"/>
    </xf>
    <xf numFmtId="2" fontId="37" fillId="0" borderId="2" xfId="0" applyNumberFormat="1" applyFont="1" applyFill="1" applyBorder="1" applyAlignment="1">
      <alignment horizontal="center" vertical="center" wrapText="1"/>
    </xf>
    <xf numFmtId="165" fontId="43" fillId="0" borderId="2" xfId="3" applyNumberFormat="1" applyFont="1" applyFill="1" applyBorder="1" applyAlignment="1">
      <alignment horizontal="center" vertical="center" wrapText="1"/>
    </xf>
    <xf numFmtId="165" fontId="44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45" fillId="0" borderId="2" xfId="3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0" fontId="47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5" fillId="0" borderId="2" xfId="0" applyFont="1" applyFill="1" applyBorder="1"/>
    <xf numFmtId="2" fontId="38" fillId="0" borderId="2" xfId="0" applyNumberFormat="1" applyFont="1" applyFill="1" applyBorder="1" applyAlignment="1">
      <alignment horizontal="center" vertical="center" wrapText="1"/>
    </xf>
    <xf numFmtId="165" fontId="38" fillId="0" borderId="2" xfId="3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165" fontId="17" fillId="0" borderId="2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0" fontId="53" fillId="0" borderId="2" xfId="0" applyNumberFormat="1" applyFont="1" applyFill="1" applyBorder="1"/>
    <xf numFmtId="165" fontId="38" fillId="0" borderId="2" xfId="4" applyNumberFormat="1" applyFont="1" applyFill="1" applyBorder="1" applyAlignment="1">
      <alignment horizontal="center" vertical="center" wrapText="1"/>
    </xf>
    <xf numFmtId="0" fontId="38" fillId="0" borderId="2" xfId="3" applyFont="1" applyFill="1" applyBorder="1" applyAlignment="1">
      <alignment vertical="center" wrapText="1"/>
    </xf>
    <xf numFmtId="4" fontId="38" fillId="0" borderId="2" xfId="3" applyNumberFormat="1" applyFont="1" applyFill="1" applyBorder="1" applyAlignment="1">
      <alignment horizontal="center" vertical="center" wrapText="1"/>
    </xf>
    <xf numFmtId="0" fontId="54" fillId="0" borderId="2" xfId="0" applyFont="1" applyFill="1" applyBorder="1"/>
    <xf numFmtId="0" fontId="56" fillId="0" borderId="2" xfId="0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left" vertical="center" wrapText="1"/>
    </xf>
    <xf numFmtId="165" fontId="16" fillId="0" borderId="2" xfId="3" applyNumberFormat="1" applyFont="1" applyFill="1" applyBorder="1" applyAlignment="1">
      <alignment horizontal="right" vertical="center" wrapText="1"/>
    </xf>
    <xf numFmtId="0" fontId="38" fillId="0" borderId="2" xfId="0" applyFont="1" applyFill="1" applyBorder="1" applyAlignment="1">
      <alignment horizontal="left" vertical="center" wrapText="1"/>
    </xf>
    <xf numFmtId="10" fontId="53" fillId="0" borderId="2" xfId="0" applyNumberFormat="1" applyFont="1" applyFill="1" applyBorder="1" applyAlignment="1">
      <alignment horizontal="center" vertical="center"/>
    </xf>
    <xf numFmtId="10" fontId="41" fillId="0" borderId="2" xfId="0" applyNumberFormat="1" applyFont="1" applyFill="1" applyBorder="1" applyAlignment="1">
      <alignment horizontal="center" vertical="center" wrapText="1"/>
    </xf>
    <xf numFmtId="0" fontId="61" fillId="0" borderId="2" xfId="0" applyFont="1" applyFill="1" applyBorder="1" applyAlignment="1">
      <alignment horizontal="center" vertical="center"/>
    </xf>
    <xf numFmtId="10" fontId="62" fillId="0" borderId="2" xfId="0" applyNumberFormat="1" applyFont="1" applyFill="1" applyBorder="1"/>
    <xf numFmtId="169" fontId="38" fillId="0" borderId="2" xfId="0" applyNumberFormat="1" applyFont="1" applyFill="1" applyBorder="1" applyAlignment="1">
      <alignment horizontal="center" vertical="center" wrapText="1"/>
    </xf>
    <xf numFmtId="4" fontId="38" fillId="0" borderId="2" xfId="0" applyNumberFormat="1" applyFont="1" applyFill="1" applyBorder="1" applyAlignment="1">
      <alignment horizontal="center" vertical="center"/>
    </xf>
    <xf numFmtId="10" fontId="41" fillId="0" borderId="2" xfId="0" applyNumberFormat="1" applyFont="1" applyFill="1" applyBorder="1" applyAlignment="1">
      <alignment horizontal="center" vertical="center"/>
    </xf>
    <xf numFmtId="165" fontId="58" fillId="0" borderId="2" xfId="3" applyNumberFormat="1" applyFont="1" applyFill="1" applyBorder="1" applyAlignment="1">
      <alignment horizontal="center" vertical="center" wrapText="1"/>
    </xf>
    <xf numFmtId="165" fontId="57" fillId="0" borderId="2" xfId="3" applyNumberFormat="1" applyFont="1" applyFill="1" applyBorder="1" applyAlignment="1">
      <alignment horizontal="center" vertical="center" wrapText="1"/>
    </xf>
    <xf numFmtId="165" fontId="59" fillId="0" borderId="2" xfId="3" applyNumberFormat="1" applyFont="1" applyFill="1" applyBorder="1" applyAlignment="1">
      <alignment horizontal="center" vertical="center" wrapText="1"/>
    </xf>
    <xf numFmtId="2" fontId="63" fillId="0" borderId="2" xfId="0" applyNumberFormat="1" applyFont="1" applyFill="1" applyBorder="1" applyAlignment="1">
      <alignment horizontal="center" vertical="center" wrapText="1"/>
    </xf>
    <xf numFmtId="170" fontId="38" fillId="0" borderId="2" xfId="3" applyNumberFormat="1" applyFont="1" applyFill="1" applyBorder="1" applyAlignment="1">
      <alignment horizontal="center" vertical="center" wrapText="1"/>
    </xf>
    <xf numFmtId="2" fontId="60" fillId="0" borderId="2" xfId="0" applyNumberFormat="1" applyFont="1" applyFill="1" applyBorder="1" applyAlignment="1">
      <alignment horizontal="center" vertical="center" wrapText="1"/>
    </xf>
    <xf numFmtId="171" fontId="41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61" fillId="0" borderId="2" xfId="0" applyFont="1" applyFill="1" applyBorder="1" applyAlignment="1">
      <alignment horizontal="center" vertical="center" wrapText="1"/>
    </xf>
    <xf numFmtId="10" fontId="43" fillId="0" borderId="2" xfId="0" applyNumberFormat="1" applyFont="1" applyFill="1" applyBorder="1" applyAlignment="1">
      <alignment horizontal="center" vertical="center"/>
    </xf>
    <xf numFmtId="165" fontId="65" fillId="0" borderId="2" xfId="3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vertical="center" wrapText="1"/>
    </xf>
    <xf numFmtId="41" fontId="13" fillId="0" borderId="0" xfId="0" applyNumberFormat="1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vertical="center" wrapText="1"/>
    </xf>
    <xf numFmtId="165" fontId="31" fillId="0" borderId="2" xfId="3" applyNumberFormat="1" applyFont="1" applyFill="1" applyBorder="1" applyAlignment="1">
      <alignment vertical="center" wrapText="1"/>
    </xf>
    <xf numFmtId="3" fontId="36" fillId="0" borderId="2" xfId="3" applyNumberFormat="1" applyFont="1" applyFill="1" applyBorder="1" applyAlignment="1">
      <alignment horizontal="center" vertical="center" wrapText="1"/>
    </xf>
    <xf numFmtId="3" fontId="35" fillId="0" borderId="2" xfId="3" applyNumberFormat="1" applyFont="1" applyFill="1" applyBorder="1" applyAlignment="1">
      <alignment horizontal="center" vertical="center" wrapText="1"/>
    </xf>
    <xf numFmtId="4" fontId="38" fillId="0" borderId="2" xfId="2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61" fillId="0" borderId="2" xfId="0" applyFont="1" applyFill="1" applyBorder="1" applyAlignment="1">
      <alignment horizontal="left" vertical="center" wrapText="1"/>
    </xf>
    <xf numFmtId="167" fontId="38" fillId="0" borderId="2" xfId="2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/>
    <xf numFmtId="165" fontId="65" fillId="0" borderId="2" xfId="2" applyNumberFormat="1" applyFont="1" applyFill="1" applyBorder="1" applyAlignment="1">
      <alignment horizontal="center" vertical="center" wrapText="1"/>
    </xf>
    <xf numFmtId="165" fontId="31" fillId="0" borderId="2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18" fillId="0" borderId="2" xfId="3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8" fontId="32" fillId="0" borderId="2" xfId="3" applyNumberFormat="1" applyFont="1" applyFill="1" applyBorder="1" applyAlignment="1">
      <alignment horizontal="center" vertical="center" wrapText="1"/>
    </xf>
    <xf numFmtId="168" fontId="34" fillId="0" borderId="2" xfId="3" applyNumberFormat="1" applyFont="1" applyFill="1" applyBorder="1" applyAlignment="1">
      <alignment horizontal="center" vertical="center" wrapText="1"/>
    </xf>
    <xf numFmtId="165" fontId="38" fillId="0" borderId="2" xfId="3" applyNumberFormat="1" applyFont="1" applyFill="1" applyBorder="1" applyAlignment="1">
      <alignment vertical="center" wrapText="1"/>
    </xf>
    <xf numFmtId="3" fontId="38" fillId="0" borderId="2" xfId="2" applyNumberFormat="1" applyFont="1" applyFill="1" applyBorder="1" applyAlignment="1">
      <alignment horizontal="center" vertical="center" wrapText="1"/>
    </xf>
    <xf numFmtId="2" fontId="40" fillId="0" borderId="2" xfId="0" applyNumberFormat="1" applyFont="1" applyFill="1" applyBorder="1" applyAlignment="1">
      <alignment horizontal="center" vertical="center" wrapText="1"/>
    </xf>
    <xf numFmtId="2" fontId="42" fillId="0" borderId="2" xfId="0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>
      <alignment horizontal="center" vertical="center" wrapText="1"/>
    </xf>
    <xf numFmtId="168" fontId="46" fillId="0" borderId="2" xfId="0" applyNumberFormat="1" applyFont="1" applyFill="1" applyBorder="1" applyAlignment="1">
      <alignment horizontal="center" vertical="center" wrapText="1"/>
    </xf>
    <xf numFmtId="2" fontId="49" fillId="0" borderId="2" xfId="0" applyNumberFormat="1" applyFont="1" applyFill="1" applyBorder="1" applyAlignment="1">
      <alignment horizontal="center" vertical="center" wrapText="1"/>
    </xf>
    <xf numFmtId="2" fontId="51" fillId="0" borderId="2" xfId="0" applyNumberFormat="1" applyFont="1" applyFill="1" applyBorder="1" applyAlignment="1">
      <alignment horizontal="center" vertical="center" wrapText="1"/>
    </xf>
    <xf numFmtId="2" fontId="52" fillId="0" borderId="2" xfId="0" applyNumberFormat="1" applyFont="1" applyFill="1" applyBorder="1" applyAlignment="1">
      <alignment horizontal="center" vertical="center" wrapText="1"/>
    </xf>
    <xf numFmtId="2" fontId="55" fillId="0" borderId="2" xfId="0" applyNumberFormat="1" applyFont="1" applyFill="1" applyBorder="1" applyAlignment="1">
      <alignment horizontal="center" vertical="center" wrapText="1"/>
    </xf>
    <xf numFmtId="165" fontId="58" fillId="0" borderId="2" xfId="3" applyNumberFormat="1" applyFont="1" applyFill="1" applyBorder="1" applyAlignment="1">
      <alignment horizontal="right" vertical="center" wrapText="1"/>
    </xf>
    <xf numFmtId="165" fontId="38" fillId="0" borderId="2" xfId="2" applyNumberFormat="1" applyFont="1" applyFill="1" applyBorder="1" applyAlignment="1">
      <alignment vertical="center" wrapText="1"/>
    </xf>
    <xf numFmtId="0" fontId="38" fillId="0" borderId="2" xfId="2" applyFont="1" applyFill="1" applyBorder="1" applyAlignment="1">
      <alignment vertical="center" wrapText="1"/>
    </xf>
    <xf numFmtId="3" fontId="38" fillId="0" borderId="2" xfId="3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0" fontId="5" fillId="2" borderId="2" xfId="0" applyFont="1" applyFill="1" applyBorder="1"/>
    <xf numFmtId="165" fontId="31" fillId="2" borderId="2" xfId="3" applyNumberFormat="1" applyFont="1" applyFill="1" applyBorder="1" applyAlignment="1">
      <alignment vertical="center" wrapText="1"/>
    </xf>
    <xf numFmtId="0" fontId="31" fillId="2" borderId="2" xfId="2" applyFont="1" applyFill="1" applyBorder="1" applyAlignment="1">
      <alignment horizontal="center" vertical="center" wrapText="1"/>
    </xf>
    <xf numFmtId="167" fontId="31" fillId="2" borderId="2" xfId="2" applyNumberFormat="1" applyFont="1" applyFill="1" applyBorder="1" applyAlignment="1">
      <alignment horizontal="center" vertical="center" wrapText="1"/>
    </xf>
    <xf numFmtId="167" fontId="37" fillId="2" borderId="2" xfId="2" applyNumberFormat="1" applyFont="1" applyFill="1" applyBorder="1" applyAlignment="1">
      <alignment horizontal="center" vertical="center" wrapText="1"/>
    </xf>
    <xf numFmtId="165" fontId="35" fillId="2" borderId="2" xfId="3" applyNumberFormat="1" applyFont="1" applyFill="1" applyBorder="1" applyAlignment="1">
      <alignment horizontal="center" vertical="center" wrapText="1"/>
    </xf>
    <xf numFmtId="165" fontId="36" fillId="2" borderId="2" xfId="3" applyNumberFormat="1" applyFont="1" applyFill="1" applyBorder="1" applyAlignment="1">
      <alignment horizontal="center" vertical="center" wrapText="1"/>
    </xf>
    <xf numFmtId="0" fontId="47" fillId="2" borderId="2" xfId="0" applyFont="1" applyFill="1" applyBorder="1"/>
    <xf numFmtId="165" fontId="35" fillId="2" borderId="2" xfId="3" applyNumberFormat="1" applyFont="1" applyFill="1" applyBorder="1" applyAlignment="1">
      <alignment vertical="center" wrapText="1"/>
    </xf>
    <xf numFmtId="3" fontId="38" fillId="2" borderId="2" xfId="2" applyNumberFormat="1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10" fontId="38" fillId="2" borderId="2" xfId="0" applyNumberFormat="1" applyFont="1" applyFill="1" applyBorder="1" applyAlignment="1">
      <alignment horizontal="center" vertical="center" wrapText="1"/>
    </xf>
    <xf numFmtId="165" fontId="48" fillId="2" borderId="2" xfId="3" applyNumberFormat="1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165" fontId="31" fillId="2" borderId="2" xfId="3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165" fontId="31" fillId="2" borderId="2" xfId="2" applyNumberFormat="1" applyFont="1" applyFill="1" applyBorder="1" applyAlignment="1">
      <alignment vertical="center" wrapText="1"/>
    </xf>
    <xf numFmtId="165" fontId="31" fillId="2" borderId="2" xfId="2" applyNumberFormat="1" applyFont="1" applyFill="1" applyBorder="1" applyAlignment="1">
      <alignment horizontal="left" vertical="center" wrapText="1"/>
    </xf>
    <xf numFmtId="0" fontId="0" fillId="2" borderId="2" xfId="0" applyFont="1" applyFill="1" applyBorder="1"/>
    <xf numFmtId="0" fontId="0" fillId="2" borderId="2" xfId="0" applyFont="1" applyFill="1" applyBorder="1" applyAlignment="1">
      <alignment wrapText="1"/>
    </xf>
    <xf numFmtId="165" fontId="38" fillId="2" borderId="2" xfId="2" applyNumberFormat="1" applyFont="1" applyFill="1" applyBorder="1" applyAlignment="1">
      <alignment vertical="center" wrapText="1"/>
    </xf>
    <xf numFmtId="167" fontId="38" fillId="2" borderId="2" xfId="2" applyNumberFormat="1" applyFont="1" applyFill="1" applyBorder="1" applyAlignment="1">
      <alignment horizontal="center" vertical="center" wrapText="1"/>
    </xf>
    <xf numFmtId="167" fontId="49" fillId="2" borderId="2" xfId="2" applyNumberFormat="1" applyFont="1" applyFill="1" applyBorder="1" applyAlignment="1">
      <alignment horizontal="center" vertical="center" wrapText="1"/>
    </xf>
    <xf numFmtId="165" fontId="38" fillId="2" borderId="2" xfId="3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4" fontId="31" fillId="2" borderId="2" xfId="2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/>
    <xf numFmtId="14" fontId="12" fillId="2" borderId="2" xfId="0" applyNumberFormat="1" applyFont="1" applyFill="1" applyBorder="1" applyAlignment="1">
      <alignment horizontal="center"/>
    </xf>
    <xf numFmtId="14" fontId="64" fillId="2" borderId="2" xfId="0" applyNumberFormat="1" applyFont="1" applyFill="1" applyBorder="1" applyAlignment="1">
      <alignment horizontal="center"/>
    </xf>
    <xf numFmtId="0" fontId="31" fillId="2" borderId="2" xfId="2" applyFont="1" applyFill="1" applyBorder="1" applyAlignment="1">
      <alignment vertical="center" wrapText="1"/>
    </xf>
    <xf numFmtId="165" fontId="65" fillId="2" borderId="2" xfId="2" applyNumberFormat="1" applyFont="1" applyFill="1" applyBorder="1" applyAlignment="1">
      <alignment horizontal="center" vertical="center" wrapText="1"/>
    </xf>
    <xf numFmtId="165" fontId="31" fillId="2" borderId="2" xfId="2" applyNumberFormat="1" applyFont="1" applyFill="1" applyBorder="1" applyAlignment="1">
      <alignment horizontal="center" vertical="center" wrapText="1"/>
    </xf>
    <xf numFmtId="3" fontId="65" fillId="2" borderId="2" xfId="3" applyNumberFormat="1" applyFont="1" applyFill="1" applyBorder="1" applyAlignment="1">
      <alignment horizontal="center" vertical="center" wrapText="1"/>
    </xf>
    <xf numFmtId="3" fontId="66" fillId="2" borderId="2" xfId="3" applyNumberFormat="1" applyFont="1" applyFill="1" applyBorder="1" applyAlignment="1">
      <alignment horizontal="center" vertical="center" wrapText="1"/>
    </xf>
    <xf numFmtId="3" fontId="67" fillId="2" borderId="2" xfId="3" applyNumberFormat="1" applyFont="1" applyFill="1" applyBorder="1" applyAlignment="1">
      <alignment horizontal="center" vertical="center" wrapText="1"/>
    </xf>
    <xf numFmtId="3" fontId="65" fillId="2" borderId="2" xfId="2" applyNumberFormat="1" applyFont="1" applyFill="1" applyBorder="1" applyAlignment="1">
      <alignment horizontal="center" vertical="center" wrapText="1"/>
    </xf>
    <xf numFmtId="3" fontId="66" fillId="2" borderId="2" xfId="2" applyNumberFormat="1" applyFont="1" applyFill="1" applyBorder="1" applyAlignment="1">
      <alignment horizontal="center" vertical="center" wrapText="1"/>
    </xf>
    <xf numFmtId="14" fontId="12" fillId="0" borderId="2" xfId="0" applyNumberFormat="1" applyFont="1" applyFill="1" applyBorder="1" applyAlignment="1">
      <alignment horizontal="center"/>
    </xf>
    <xf numFmtId="14" fontId="64" fillId="0" borderId="2" xfId="0" applyNumberFormat="1" applyFont="1" applyFill="1" applyBorder="1" applyAlignment="1">
      <alignment horizontal="center"/>
    </xf>
    <xf numFmtId="3" fontId="65" fillId="0" borderId="2" xfId="3" applyNumberFormat="1" applyFont="1" applyFill="1" applyBorder="1" applyAlignment="1">
      <alignment horizontal="center" vertical="center" wrapText="1"/>
    </xf>
    <xf numFmtId="3" fontId="66" fillId="0" borderId="2" xfId="3" applyNumberFormat="1" applyFont="1" applyFill="1" applyBorder="1" applyAlignment="1">
      <alignment horizontal="center" vertical="center" wrapText="1"/>
    </xf>
    <xf numFmtId="3" fontId="67" fillId="0" borderId="2" xfId="3" applyNumberFormat="1" applyFont="1" applyFill="1" applyBorder="1" applyAlignment="1">
      <alignment horizontal="center" vertical="center" wrapText="1"/>
    </xf>
    <xf numFmtId="3" fontId="65" fillId="0" borderId="2" xfId="2" applyNumberFormat="1" applyFont="1" applyFill="1" applyBorder="1" applyAlignment="1">
      <alignment horizontal="center" vertical="center" wrapText="1"/>
    </xf>
    <xf numFmtId="3" fontId="66" fillId="0" borderId="2" xfId="2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/>
    <xf numFmtId="3" fontId="0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2" xfId="0" applyNumberFormat="1" applyFont="1" applyFill="1" applyBorder="1"/>
    <xf numFmtId="3" fontId="0" fillId="2" borderId="2" xfId="0" applyNumberFormat="1" applyFill="1" applyBorder="1"/>
    <xf numFmtId="3" fontId="0" fillId="0" borderId="0" xfId="0" applyNumberFormat="1" applyFill="1"/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165" fontId="8" fillId="0" borderId="0" xfId="2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1" fontId="18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167" fontId="17" fillId="0" borderId="2" xfId="2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165" fontId="8" fillId="2" borderId="2" xfId="2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3" fontId="8" fillId="0" borderId="2" xfId="3" applyNumberFormat="1" applyFont="1" applyFill="1" applyBorder="1" applyAlignment="1">
      <alignment horizontal="center" vertical="center" wrapText="1"/>
    </xf>
    <xf numFmtId="1" fontId="18" fillId="2" borderId="2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18" fillId="0" borderId="2" xfId="2" applyNumberFormat="1" applyFont="1" applyFill="1" applyBorder="1" applyAlignment="1">
      <alignment horizontal="center" vertical="center" wrapText="1"/>
    </xf>
    <xf numFmtId="49" fontId="18" fillId="0" borderId="2" xfId="3" applyNumberFormat="1" applyFont="1" applyFill="1" applyBorder="1" applyAlignment="1">
      <alignment horizontal="center" vertical="center" wrapText="1"/>
    </xf>
    <xf numFmtId="0" fontId="18" fillId="0" borderId="2" xfId="3" applyNumberFormat="1" applyFont="1" applyFill="1" applyBorder="1" applyAlignment="1">
      <alignment horizontal="center" vertical="center" wrapText="1"/>
    </xf>
    <xf numFmtId="49" fontId="18" fillId="0" borderId="2" xfId="2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12%20&#1056;&#1077;&#1096;&#1077;&#1085;&#1080;&#1077;%20&#1050;&#1086;&#1084;&#1080;&#1089;&#1089;&#1080;&#1080;%20&#1086;&#1090;/&#1057;&#1042;&#1054;&#1044;%20&#1082;&#1086;&#1084;&#1080;&#1089;&#1089;&#1080;&#1103;%20&#8470;12%202024%20&#1076;&#1077;&#1082;&#1072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 (КОВИД)"/>
      <sheetName val="КС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89">
          <cell r="CL189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I305"/>
  <sheetViews>
    <sheetView tabSelected="1" zoomScale="80" zoomScaleNormal="80" zoomScaleSheetLayoutView="80" workbookViewId="0">
      <pane xSplit="15" ySplit="11" topLeftCell="CE290" activePane="bottomRight" state="frozen"/>
      <selection activeCell="Q529" sqref="Q529:CX529"/>
      <selection pane="topRight" activeCell="Q529" sqref="Q529:CX529"/>
      <selection pane="bottomLeft" activeCell="Q529" sqref="Q529:CX529"/>
      <selection pane="bottomRight" activeCell="D317" sqref="D317"/>
    </sheetView>
  </sheetViews>
  <sheetFormatPr defaultRowHeight="15.75" x14ac:dyDescent="0.25"/>
  <cols>
    <col min="1" max="1" width="5" style="1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hidden="1" customWidth="1"/>
    <col min="6" max="6" width="10.7109375" style="1" customWidth="1"/>
    <col min="7" max="7" width="6.7109375" style="4" customWidth="1"/>
    <col min="8" max="8" width="9.28515625" style="4" customWidth="1"/>
    <col min="9" max="9" width="6.42578125" style="1" customWidth="1"/>
    <col min="10" max="10" width="7.7109375" style="1" customWidth="1"/>
    <col min="11" max="11" width="6.42578125" style="1" hidden="1" customWidth="1"/>
    <col min="12" max="15" width="6.7109375" style="1" hidden="1" customWidth="1"/>
    <col min="16" max="16" width="12.7109375" style="3" customWidth="1"/>
    <col min="17" max="17" width="14.7109375" style="1" customWidth="1"/>
    <col min="18" max="18" width="12.42578125" style="1" customWidth="1"/>
    <col min="19" max="19" width="15.85546875" style="1" customWidth="1"/>
    <col min="20" max="20" width="10.85546875" style="3" customWidth="1"/>
    <col min="21" max="21" width="15.7109375" style="1" customWidth="1"/>
    <col min="22" max="22" width="13" style="1" customWidth="1"/>
    <col min="23" max="23" width="15.85546875" style="1" customWidth="1"/>
    <col min="24" max="24" width="10" style="1" customWidth="1"/>
    <col min="25" max="25" width="17.7109375" style="1" customWidth="1"/>
    <col min="26" max="26" width="10" style="1" customWidth="1"/>
    <col min="27" max="27" width="16.7109375" style="1" customWidth="1"/>
    <col min="28" max="28" width="11.140625" style="1" customWidth="1"/>
    <col min="29" max="29" width="13" style="1" customWidth="1"/>
    <col min="30" max="30" width="11.140625" style="1" customWidth="1"/>
    <col min="31" max="31" width="14.5703125" style="1" customWidth="1"/>
    <col min="32" max="32" width="10" style="1" customWidth="1"/>
    <col min="33" max="33" width="15" style="1" customWidth="1"/>
    <col min="34" max="34" width="10" style="1" customWidth="1"/>
    <col min="35" max="35" width="14.28515625" style="1" customWidth="1"/>
    <col min="36" max="36" width="11.140625" style="1" customWidth="1"/>
    <col min="37" max="37" width="14.28515625" style="1" customWidth="1"/>
    <col min="38" max="38" width="10" style="1" customWidth="1"/>
    <col min="39" max="39" width="16.7109375" style="1" customWidth="1"/>
    <col min="40" max="40" width="10" style="1" customWidth="1"/>
    <col min="41" max="41" width="15" style="1" customWidth="1"/>
    <col min="42" max="42" width="8.28515625" style="1" customWidth="1"/>
    <col min="43" max="43" width="7.5703125" style="1" customWidth="1"/>
    <col min="44" max="44" width="10" style="4" customWidth="1"/>
    <col min="45" max="45" width="16.140625" style="4" customWidth="1"/>
    <col min="46" max="46" width="11.7109375" style="1" customWidth="1"/>
    <col min="47" max="47" width="14.7109375" style="1" customWidth="1"/>
    <col min="48" max="48" width="10" style="1" customWidth="1"/>
    <col min="49" max="49" width="16.140625" style="1" customWidth="1"/>
    <col min="50" max="50" width="10" style="1" customWidth="1"/>
    <col min="51" max="51" width="16.140625" style="1" customWidth="1"/>
    <col min="52" max="52" width="10" style="1" customWidth="1"/>
    <col min="53" max="53" width="16.140625" style="1" customWidth="1"/>
    <col min="54" max="54" width="11.5703125" style="1" customWidth="1"/>
    <col min="55" max="55" width="14" style="1" customWidth="1"/>
    <col min="56" max="56" width="10" style="1" customWidth="1"/>
    <col min="57" max="57" width="16.140625" style="1" customWidth="1"/>
    <col min="58" max="58" width="10" style="1" customWidth="1"/>
    <col min="59" max="59" width="15" style="1" customWidth="1"/>
    <col min="60" max="60" width="10" style="1" customWidth="1"/>
    <col min="61" max="61" width="15" style="1" customWidth="1"/>
    <col min="62" max="62" width="10" style="1" customWidth="1"/>
    <col min="63" max="63" width="15" style="1" customWidth="1"/>
    <col min="64" max="64" width="12.140625" style="5" customWidth="1"/>
    <col min="65" max="65" width="15.85546875" style="1" customWidth="1"/>
    <col min="66" max="66" width="11.42578125" style="1" customWidth="1"/>
    <col min="67" max="67" width="15" style="1" customWidth="1"/>
    <col min="68" max="68" width="7.140625" style="6" customWidth="1"/>
    <col min="69" max="69" width="7.140625" style="1" customWidth="1"/>
    <col min="70" max="70" width="10" style="1" customWidth="1"/>
    <col min="71" max="71" width="15" style="1" customWidth="1"/>
    <col min="72" max="72" width="9.7109375" style="1" customWidth="1"/>
    <col min="73" max="73" width="14.28515625" style="1" customWidth="1"/>
    <col min="74" max="74" width="9.85546875" style="3" customWidth="1"/>
    <col min="75" max="75" width="15" style="1" customWidth="1"/>
    <col min="76" max="76" width="10" style="1" customWidth="1"/>
    <col min="77" max="77" width="15" style="1" customWidth="1"/>
    <col min="78" max="78" width="12.5703125" style="1" customWidth="1"/>
    <col min="79" max="79" width="15" style="1" customWidth="1"/>
    <col min="80" max="80" width="10" style="1" customWidth="1"/>
    <col min="81" max="81" width="15" style="1" customWidth="1"/>
    <col min="82" max="82" width="10.42578125" style="1" customWidth="1"/>
    <col min="83" max="83" width="15" style="1" customWidth="1"/>
    <col min="84" max="84" width="12.42578125" style="1" customWidth="1"/>
    <col min="85" max="85" width="16.85546875" style="1" customWidth="1"/>
    <col min="86" max="86" width="13" style="1" customWidth="1"/>
    <col min="87" max="87" width="16.140625" style="1" customWidth="1"/>
    <col min="88" max="88" width="10" style="1" customWidth="1"/>
    <col min="89" max="89" width="15.5703125" style="1" customWidth="1"/>
    <col min="90" max="90" width="10.42578125" style="1" customWidth="1"/>
    <col min="91" max="91" width="12.42578125" style="1" customWidth="1"/>
    <col min="92" max="92" width="10.85546875" style="1" customWidth="1"/>
    <col min="93" max="93" width="13.140625" style="1" customWidth="1"/>
    <col min="94" max="94" width="11.28515625" style="1" customWidth="1"/>
    <col min="95" max="95" width="17.140625" style="1" customWidth="1"/>
    <col min="96" max="16384" width="9.140625" style="1"/>
  </cols>
  <sheetData>
    <row r="1" spans="1:95" ht="15.75" customHeight="1" x14ac:dyDescent="0.25">
      <c r="D1" s="175" t="s">
        <v>0</v>
      </c>
      <c r="E1" s="175"/>
      <c r="F1" s="175"/>
      <c r="G1" s="175"/>
      <c r="H1" s="175"/>
      <c r="R1" s="2"/>
    </row>
    <row r="2" spans="1:95" ht="31.5" customHeight="1" x14ac:dyDescent="0.25">
      <c r="D2" s="176" t="s">
        <v>706</v>
      </c>
      <c r="E2" s="176"/>
      <c r="F2" s="176"/>
      <c r="G2" s="176"/>
      <c r="H2" s="176"/>
      <c r="R2" s="7"/>
      <c r="AB2" s="177"/>
      <c r="AC2" s="177"/>
    </row>
    <row r="3" spans="1:95" ht="29.25" customHeight="1" x14ac:dyDescent="0.25">
      <c r="B3" s="8" t="s">
        <v>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V3" s="11"/>
      <c r="W3" s="11"/>
      <c r="X3" s="12"/>
      <c r="Y3" s="13"/>
      <c r="Z3" s="12"/>
      <c r="AA3" s="12"/>
      <c r="AB3" s="12"/>
      <c r="AC3" s="12"/>
      <c r="AD3" s="12"/>
      <c r="AE3" s="12"/>
      <c r="AF3" s="12">
        <f>AE302:AF302</f>
        <v>0</v>
      </c>
      <c r="AG3" s="12">
        <f>AG302</f>
        <v>0</v>
      </c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>
        <f>'[3]СВОД!'!CL189</f>
        <v>0</v>
      </c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92"/>
      <c r="BS3" s="92"/>
      <c r="BT3" s="12"/>
      <c r="BU3" s="12"/>
      <c r="BV3" s="93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</row>
    <row r="4" spans="1:95" ht="31.5" customHeight="1" x14ac:dyDescent="0.25">
      <c r="B4" s="14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178"/>
      <c r="S4" s="178"/>
      <c r="T4" s="178"/>
      <c r="U4" s="178"/>
      <c r="V4" s="15"/>
      <c r="W4" s="15"/>
      <c r="X4" s="16"/>
      <c r="Y4" s="15"/>
      <c r="Z4" s="15"/>
      <c r="AA4" s="15"/>
      <c r="AB4" s="178"/>
      <c r="AC4" s="178"/>
      <c r="AD4" s="179"/>
      <c r="AE4" s="179"/>
      <c r="AF4" s="179"/>
      <c r="AG4" s="179"/>
      <c r="AH4" s="179"/>
      <c r="AI4" s="179"/>
      <c r="AJ4" s="90"/>
      <c r="AK4" s="90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8"/>
      <c r="BP4" s="178"/>
      <c r="BQ4" s="178"/>
      <c r="BR4" s="91"/>
      <c r="BS4" s="91"/>
      <c r="BT4" s="178"/>
      <c r="BU4" s="178"/>
      <c r="BV4" s="178"/>
      <c r="BW4" s="178"/>
      <c r="BX4" s="178"/>
      <c r="BY4" s="178"/>
      <c r="BZ4" s="178"/>
      <c r="CA4" s="178"/>
      <c r="CB4" s="178"/>
      <c r="CC4" s="178"/>
      <c r="CD4" s="178"/>
      <c r="CE4" s="178"/>
      <c r="CF4" s="178"/>
      <c r="CG4" s="178"/>
      <c r="CH4" s="178"/>
      <c r="CI4" s="178"/>
      <c r="CJ4" s="178"/>
      <c r="CK4" s="178"/>
      <c r="CL4" s="90"/>
      <c r="CM4" s="90"/>
      <c r="CN4" s="12"/>
      <c r="CO4" s="12"/>
      <c r="CP4" s="12"/>
      <c r="CQ4" s="12"/>
    </row>
    <row r="5" spans="1:95" s="17" customFormat="1" ht="60.75" customHeight="1" x14ac:dyDescent="0.25">
      <c r="A5" s="180" t="s">
        <v>2</v>
      </c>
      <c r="B5" s="180" t="s">
        <v>3</v>
      </c>
      <c r="C5" s="180" t="s">
        <v>4</v>
      </c>
      <c r="D5" s="182" t="s">
        <v>5</v>
      </c>
      <c r="E5" s="183" t="s">
        <v>6</v>
      </c>
      <c r="F5" s="183" t="s">
        <v>7</v>
      </c>
      <c r="G5" s="187" t="s">
        <v>8</v>
      </c>
      <c r="H5" s="187" t="s">
        <v>9</v>
      </c>
      <c r="I5" s="187" t="s">
        <v>10</v>
      </c>
      <c r="J5" s="187" t="s">
        <v>11</v>
      </c>
      <c r="K5" s="187"/>
      <c r="L5" s="187" t="s">
        <v>12</v>
      </c>
      <c r="M5" s="187"/>
      <c r="N5" s="187"/>
      <c r="O5" s="187"/>
      <c r="P5" s="184" t="s">
        <v>13</v>
      </c>
      <c r="Q5" s="184"/>
      <c r="R5" s="184" t="s">
        <v>14</v>
      </c>
      <c r="S5" s="184"/>
      <c r="T5" s="184" t="s">
        <v>15</v>
      </c>
      <c r="U5" s="184"/>
      <c r="V5" s="185" t="s">
        <v>16</v>
      </c>
      <c r="W5" s="185"/>
      <c r="X5" s="184" t="s">
        <v>17</v>
      </c>
      <c r="Y5" s="184"/>
      <c r="Z5" s="186" t="s">
        <v>18</v>
      </c>
      <c r="AA5" s="186"/>
      <c r="AB5" s="185" t="s">
        <v>19</v>
      </c>
      <c r="AC5" s="185"/>
      <c r="AD5" s="184" t="s">
        <v>20</v>
      </c>
      <c r="AE5" s="184"/>
      <c r="AF5" s="185" t="s">
        <v>21</v>
      </c>
      <c r="AG5" s="185"/>
      <c r="AH5" s="185" t="s">
        <v>22</v>
      </c>
      <c r="AI5" s="185"/>
      <c r="AJ5" s="190" t="s">
        <v>23</v>
      </c>
      <c r="AK5" s="190"/>
      <c r="AL5" s="184" t="s">
        <v>24</v>
      </c>
      <c r="AM5" s="184"/>
      <c r="AN5" s="184" t="s">
        <v>25</v>
      </c>
      <c r="AO5" s="184"/>
      <c r="AP5" s="184" t="s">
        <v>26</v>
      </c>
      <c r="AQ5" s="184"/>
      <c r="AR5" s="184" t="s">
        <v>27</v>
      </c>
      <c r="AS5" s="184"/>
      <c r="AT5" s="184" t="s">
        <v>28</v>
      </c>
      <c r="AU5" s="184"/>
      <c r="AV5" s="189" t="s">
        <v>29</v>
      </c>
      <c r="AW5" s="189"/>
      <c r="AX5" s="184" t="s">
        <v>30</v>
      </c>
      <c r="AY5" s="184"/>
      <c r="AZ5" s="184" t="s">
        <v>31</v>
      </c>
      <c r="BA5" s="184"/>
      <c r="BB5" s="184" t="s">
        <v>32</v>
      </c>
      <c r="BC5" s="184"/>
      <c r="BD5" s="189" t="s">
        <v>33</v>
      </c>
      <c r="BE5" s="189"/>
      <c r="BF5" s="184" t="s">
        <v>34</v>
      </c>
      <c r="BG5" s="184"/>
      <c r="BH5" s="184" t="s">
        <v>35</v>
      </c>
      <c r="BI5" s="184"/>
      <c r="BJ5" s="184" t="s">
        <v>36</v>
      </c>
      <c r="BK5" s="184"/>
      <c r="BL5" s="184" t="s">
        <v>37</v>
      </c>
      <c r="BM5" s="184"/>
      <c r="BN5" s="189" t="s">
        <v>38</v>
      </c>
      <c r="BO5" s="189"/>
      <c r="BP5" s="184" t="s">
        <v>39</v>
      </c>
      <c r="BQ5" s="184"/>
      <c r="BR5" s="189" t="s">
        <v>40</v>
      </c>
      <c r="BS5" s="189"/>
      <c r="BT5" s="189" t="s">
        <v>41</v>
      </c>
      <c r="BU5" s="189"/>
      <c r="BV5" s="189" t="s">
        <v>42</v>
      </c>
      <c r="BW5" s="189"/>
      <c r="BX5" s="184" t="s">
        <v>43</v>
      </c>
      <c r="BY5" s="184"/>
      <c r="BZ5" s="189" t="s">
        <v>44</v>
      </c>
      <c r="CA5" s="189"/>
      <c r="CB5" s="192" t="s">
        <v>45</v>
      </c>
      <c r="CC5" s="192"/>
      <c r="CD5" s="189" t="s">
        <v>46</v>
      </c>
      <c r="CE5" s="189"/>
      <c r="CF5" s="189" t="s">
        <v>47</v>
      </c>
      <c r="CG5" s="189"/>
      <c r="CH5" s="189" t="s">
        <v>48</v>
      </c>
      <c r="CI5" s="189"/>
      <c r="CJ5" s="191" t="s">
        <v>49</v>
      </c>
      <c r="CK5" s="191"/>
      <c r="CL5" s="191" t="s">
        <v>50</v>
      </c>
      <c r="CM5" s="191"/>
      <c r="CN5" s="185" t="s">
        <v>51</v>
      </c>
      <c r="CO5" s="185"/>
      <c r="CP5" s="184" t="s">
        <v>52</v>
      </c>
      <c r="CQ5" s="184"/>
    </row>
    <row r="6" spans="1:95" s="17" customFormat="1" ht="18.75" customHeight="1" x14ac:dyDescent="0.25">
      <c r="A6" s="180"/>
      <c r="B6" s="180"/>
      <c r="C6" s="180"/>
      <c r="D6" s="182"/>
      <c r="E6" s="183"/>
      <c r="F6" s="183"/>
      <c r="G6" s="187"/>
      <c r="H6" s="187"/>
      <c r="I6" s="187"/>
      <c r="J6" s="187"/>
      <c r="K6" s="187"/>
      <c r="L6" s="188" t="s">
        <v>53</v>
      </c>
      <c r="M6" s="188"/>
      <c r="N6" s="188"/>
      <c r="O6" s="188"/>
      <c r="P6" s="194">
        <v>270005</v>
      </c>
      <c r="Q6" s="194"/>
      <c r="R6" s="193">
        <v>270004</v>
      </c>
      <c r="S6" s="193"/>
      <c r="T6" s="193">
        <v>270148</v>
      </c>
      <c r="U6" s="193"/>
      <c r="V6" s="193">
        <v>270008</v>
      </c>
      <c r="W6" s="193"/>
      <c r="X6" s="193">
        <v>270007</v>
      </c>
      <c r="Y6" s="193"/>
      <c r="Z6" s="186">
        <v>270149</v>
      </c>
      <c r="AA6" s="186"/>
      <c r="AB6" s="193">
        <v>270042</v>
      </c>
      <c r="AC6" s="193"/>
      <c r="AD6" s="193">
        <v>270017</v>
      </c>
      <c r="AE6" s="193"/>
      <c r="AF6" s="193">
        <v>270008</v>
      </c>
      <c r="AG6" s="193"/>
      <c r="AH6" s="193">
        <v>270057</v>
      </c>
      <c r="AI6" s="193"/>
      <c r="AJ6" s="104"/>
      <c r="AK6" s="104"/>
      <c r="AL6" s="193">
        <v>270018</v>
      </c>
      <c r="AM6" s="193"/>
      <c r="AN6" s="193">
        <v>270040</v>
      </c>
      <c r="AO6" s="193"/>
      <c r="AP6" s="193">
        <v>270041</v>
      </c>
      <c r="AQ6" s="193"/>
      <c r="AR6" s="193">
        <v>270116</v>
      </c>
      <c r="AS6" s="193"/>
      <c r="AT6" s="193">
        <v>270155</v>
      </c>
      <c r="AU6" s="193"/>
      <c r="AV6" s="193">
        <v>270168</v>
      </c>
      <c r="AW6" s="193"/>
      <c r="AX6" s="193">
        <v>270134</v>
      </c>
      <c r="AY6" s="193"/>
      <c r="AZ6" s="193">
        <v>270098</v>
      </c>
      <c r="BA6" s="193"/>
      <c r="BB6" s="193">
        <v>270087</v>
      </c>
      <c r="BC6" s="193"/>
      <c r="BD6" s="193">
        <v>270169</v>
      </c>
      <c r="BE6" s="193"/>
      <c r="BF6" s="193">
        <v>270050</v>
      </c>
      <c r="BG6" s="193"/>
      <c r="BH6" s="193">
        <v>270052</v>
      </c>
      <c r="BI6" s="193"/>
      <c r="BJ6" s="193">
        <v>270053</v>
      </c>
      <c r="BK6" s="193"/>
      <c r="BL6" s="193">
        <v>270056</v>
      </c>
      <c r="BM6" s="193"/>
      <c r="BN6" s="193">
        <v>270068</v>
      </c>
      <c r="BO6" s="193"/>
      <c r="BP6" s="193">
        <v>270069</v>
      </c>
      <c r="BQ6" s="193"/>
      <c r="BR6" s="193">
        <v>270156</v>
      </c>
      <c r="BS6" s="193"/>
      <c r="BT6" s="193">
        <v>270091</v>
      </c>
      <c r="BU6" s="193"/>
      <c r="BV6" s="193">
        <v>270088</v>
      </c>
      <c r="BW6" s="193"/>
      <c r="BX6" s="193">
        <v>270146</v>
      </c>
      <c r="BY6" s="193"/>
      <c r="BZ6" s="193">
        <v>270170</v>
      </c>
      <c r="CA6" s="193"/>
      <c r="CB6" s="193">
        <v>270171</v>
      </c>
      <c r="CC6" s="193"/>
      <c r="CD6" s="193">
        <v>270095</v>
      </c>
      <c r="CE6" s="193"/>
      <c r="CF6" s="193">
        <v>270065</v>
      </c>
      <c r="CG6" s="193"/>
      <c r="CH6" s="193">
        <v>270089</v>
      </c>
      <c r="CI6" s="193"/>
      <c r="CJ6" s="191">
        <v>270223</v>
      </c>
      <c r="CK6" s="191"/>
      <c r="CL6" s="191">
        <v>270115</v>
      </c>
      <c r="CM6" s="191"/>
      <c r="CN6" s="185">
        <v>270113</v>
      </c>
      <c r="CO6" s="185"/>
      <c r="CP6" s="18"/>
      <c r="CQ6" s="18"/>
    </row>
    <row r="7" spans="1:95" s="17" customFormat="1" ht="15.75" hidden="1" customHeight="1" x14ac:dyDescent="0.25">
      <c r="A7" s="180"/>
      <c r="B7" s="180"/>
      <c r="C7" s="180"/>
      <c r="D7" s="182"/>
      <c r="E7" s="183"/>
      <c r="F7" s="183"/>
      <c r="G7" s="187"/>
      <c r="H7" s="187"/>
      <c r="I7" s="187"/>
      <c r="J7" s="187"/>
      <c r="K7" s="187"/>
      <c r="L7" s="187" t="s">
        <v>54</v>
      </c>
      <c r="M7" s="187" t="s">
        <v>55</v>
      </c>
      <c r="N7" s="187" t="s">
        <v>56</v>
      </c>
      <c r="O7" s="187" t="s">
        <v>57</v>
      </c>
      <c r="P7" s="195" t="s">
        <v>58</v>
      </c>
      <c r="Q7" s="195"/>
      <c r="R7" s="195" t="s">
        <v>59</v>
      </c>
      <c r="S7" s="195"/>
      <c r="T7" s="196" t="s">
        <v>60</v>
      </c>
      <c r="U7" s="196"/>
      <c r="V7" s="196" t="s">
        <v>61</v>
      </c>
      <c r="W7" s="196"/>
      <c r="X7" s="196" t="s">
        <v>62</v>
      </c>
      <c r="Y7" s="196"/>
      <c r="Z7" s="195" t="s">
        <v>63</v>
      </c>
      <c r="AA7" s="195"/>
      <c r="AB7" s="196" t="s">
        <v>64</v>
      </c>
      <c r="AC7" s="196"/>
      <c r="AD7" s="196" t="s">
        <v>65</v>
      </c>
      <c r="AE7" s="196"/>
      <c r="AF7" s="195" t="s">
        <v>61</v>
      </c>
      <c r="AG7" s="195"/>
      <c r="AH7" s="196" t="s">
        <v>66</v>
      </c>
      <c r="AI7" s="196"/>
      <c r="AJ7" s="105"/>
      <c r="AK7" s="105"/>
      <c r="AL7" s="196" t="s">
        <v>67</v>
      </c>
      <c r="AM7" s="196"/>
      <c r="AN7" s="196" t="s">
        <v>68</v>
      </c>
      <c r="AO7" s="196"/>
      <c r="AP7" s="196" t="s">
        <v>69</v>
      </c>
      <c r="AQ7" s="196"/>
      <c r="AR7" s="196" t="s">
        <v>70</v>
      </c>
      <c r="AS7" s="196"/>
      <c r="AT7" s="196" t="s">
        <v>71</v>
      </c>
      <c r="AU7" s="196"/>
      <c r="AV7" s="196" t="s">
        <v>72</v>
      </c>
      <c r="AW7" s="196"/>
      <c r="AX7" s="196" t="s">
        <v>73</v>
      </c>
      <c r="AY7" s="196"/>
      <c r="AZ7" s="196" t="s">
        <v>74</v>
      </c>
      <c r="BA7" s="196"/>
      <c r="BB7" s="196" t="s">
        <v>75</v>
      </c>
      <c r="BC7" s="196"/>
      <c r="BD7" s="196" t="s">
        <v>76</v>
      </c>
      <c r="BE7" s="196"/>
      <c r="BF7" s="196" t="s">
        <v>77</v>
      </c>
      <c r="BG7" s="196"/>
      <c r="BH7" s="196" t="s">
        <v>78</v>
      </c>
      <c r="BI7" s="196"/>
      <c r="BJ7" s="196" t="s">
        <v>79</v>
      </c>
      <c r="BK7" s="196"/>
      <c r="BL7" s="196" t="s">
        <v>80</v>
      </c>
      <c r="BM7" s="196"/>
      <c r="BN7" s="196" t="s">
        <v>81</v>
      </c>
      <c r="BO7" s="196"/>
      <c r="BP7" s="196" t="s">
        <v>82</v>
      </c>
      <c r="BQ7" s="196"/>
      <c r="BR7" s="196" t="s">
        <v>83</v>
      </c>
      <c r="BS7" s="196"/>
      <c r="BT7" s="196" t="s">
        <v>84</v>
      </c>
      <c r="BU7" s="196"/>
      <c r="BV7" s="196" t="s">
        <v>85</v>
      </c>
      <c r="BW7" s="196"/>
      <c r="BX7" s="196" t="s">
        <v>86</v>
      </c>
      <c r="BY7" s="196"/>
      <c r="BZ7" s="196" t="s">
        <v>87</v>
      </c>
      <c r="CA7" s="196"/>
      <c r="CB7" s="196" t="s">
        <v>88</v>
      </c>
      <c r="CC7" s="196"/>
      <c r="CD7" s="196" t="s">
        <v>89</v>
      </c>
      <c r="CE7" s="196"/>
      <c r="CF7" s="196" t="s">
        <v>90</v>
      </c>
      <c r="CG7" s="196"/>
      <c r="CH7" s="196" t="s">
        <v>91</v>
      </c>
      <c r="CI7" s="196"/>
      <c r="CJ7" s="197" t="s">
        <v>92</v>
      </c>
      <c r="CK7" s="197"/>
      <c r="CL7" s="19"/>
      <c r="CM7" s="19"/>
      <c r="CN7" s="195" t="s">
        <v>93</v>
      </c>
      <c r="CO7" s="195"/>
      <c r="CP7" s="19"/>
      <c r="CQ7" s="19"/>
    </row>
    <row r="8" spans="1:95" ht="49.5" customHeight="1" x14ac:dyDescent="0.25">
      <c r="A8" s="181"/>
      <c r="B8" s="181"/>
      <c r="C8" s="181"/>
      <c r="D8" s="182"/>
      <c r="E8" s="183"/>
      <c r="F8" s="183"/>
      <c r="G8" s="187"/>
      <c r="H8" s="187"/>
      <c r="I8" s="187"/>
      <c r="J8" s="187"/>
      <c r="K8" s="187"/>
      <c r="L8" s="187"/>
      <c r="M8" s="187"/>
      <c r="N8" s="187"/>
      <c r="O8" s="187"/>
      <c r="P8" s="21" t="s">
        <v>94</v>
      </c>
      <c r="Q8" s="21" t="s">
        <v>95</v>
      </c>
      <c r="R8" s="21" t="s">
        <v>94</v>
      </c>
      <c r="S8" s="21" t="s">
        <v>95</v>
      </c>
      <c r="T8" s="20" t="s">
        <v>94</v>
      </c>
      <c r="U8" s="21" t="s">
        <v>95</v>
      </c>
      <c r="V8" s="21" t="s">
        <v>94</v>
      </c>
      <c r="W8" s="21" t="s">
        <v>95</v>
      </c>
      <c r="X8" s="21" t="s">
        <v>94</v>
      </c>
      <c r="Y8" s="21" t="s">
        <v>95</v>
      </c>
      <c r="Z8" s="21" t="s">
        <v>94</v>
      </c>
      <c r="AA8" s="21" t="s">
        <v>95</v>
      </c>
      <c r="AB8" s="21" t="s">
        <v>94</v>
      </c>
      <c r="AC8" s="21" t="s">
        <v>95</v>
      </c>
      <c r="AD8" s="21" t="s">
        <v>94</v>
      </c>
      <c r="AE8" s="21" t="s">
        <v>95</v>
      </c>
      <c r="AF8" s="21" t="s">
        <v>94</v>
      </c>
      <c r="AG8" s="21" t="s">
        <v>95</v>
      </c>
      <c r="AH8" s="21" t="s">
        <v>94</v>
      </c>
      <c r="AI8" s="21" t="s">
        <v>95</v>
      </c>
      <c r="AJ8" s="21" t="s">
        <v>94</v>
      </c>
      <c r="AK8" s="21" t="s">
        <v>95</v>
      </c>
      <c r="AL8" s="21" t="s">
        <v>94</v>
      </c>
      <c r="AM8" s="21" t="s">
        <v>95</v>
      </c>
      <c r="AN8" s="21" t="s">
        <v>94</v>
      </c>
      <c r="AO8" s="21" t="s">
        <v>95</v>
      </c>
      <c r="AP8" s="22" t="s">
        <v>94</v>
      </c>
      <c r="AQ8" s="23" t="s">
        <v>95</v>
      </c>
      <c r="AR8" s="21" t="s">
        <v>94</v>
      </c>
      <c r="AS8" s="21" t="s">
        <v>95</v>
      </c>
      <c r="AT8" s="22" t="s">
        <v>94</v>
      </c>
      <c r="AU8" s="23" t="s">
        <v>95</v>
      </c>
      <c r="AV8" s="21" t="s">
        <v>94</v>
      </c>
      <c r="AW8" s="21" t="s">
        <v>95</v>
      </c>
      <c r="AX8" s="21" t="s">
        <v>94</v>
      </c>
      <c r="AY8" s="21" t="s">
        <v>95</v>
      </c>
      <c r="AZ8" s="21" t="s">
        <v>94</v>
      </c>
      <c r="BA8" s="21" t="s">
        <v>95</v>
      </c>
      <c r="BB8" s="22" t="s">
        <v>94</v>
      </c>
      <c r="BC8" s="23" t="s">
        <v>95</v>
      </c>
      <c r="BD8" s="21" t="s">
        <v>94</v>
      </c>
      <c r="BE8" s="21" t="s">
        <v>95</v>
      </c>
      <c r="BF8" s="21" t="s">
        <v>94</v>
      </c>
      <c r="BG8" s="21" t="s">
        <v>95</v>
      </c>
      <c r="BH8" s="21" t="s">
        <v>94</v>
      </c>
      <c r="BI8" s="21" t="s">
        <v>95</v>
      </c>
      <c r="BJ8" s="21" t="s">
        <v>94</v>
      </c>
      <c r="BK8" s="21" t="s">
        <v>95</v>
      </c>
      <c r="BL8" s="21" t="s">
        <v>94</v>
      </c>
      <c r="BM8" s="21" t="s">
        <v>95</v>
      </c>
      <c r="BN8" s="21" t="s">
        <v>94</v>
      </c>
      <c r="BO8" s="21" t="s">
        <v>95</v>
      </c>
      <c r="BP8" s="24" t="s">
        <v>96</v>
      </c>
      <c r="BQ8" s="23" t="s">
        <v>95</v>
      </c>
      <c r="BR8" s="21" t="s">
        <v>94</v>
      </c>
      <c r="BS8" s="21" t="s">
        <v>95</v>
      </c>
      <c r="BT8" s="22" t="s">
        <v>94</v>
      </c>
      <c r="BU8" s="23" t="s">
        <v>95</v>
      </c>
      <c r="BV8" s="21" t="s">
        <v>94</v>
      </c>
      <c r="BW8" s="21" t="s">
        <v>95</v>
      </c>
      <c r="BX8" s="21" t="s">
        <v>94</v>
      </c>
      <c r="BY8" s="21" t="s">
        <v>95</v>
      </c>
      <c r="BZ8" s="21" t="s">
        <v>94</v>
      </c>
      <c r="CA8" s="21" t="s">
        <v>95</v>
      </c>
      <c r="CB8" s="21" t="s">
        <v>94</v>
      </c>
      <c r="CC8" s="21" t="s">
        <v>95</v>
      </c>
      <c r="CD8" s="21" t="s">
        <v>94</v>
      </c>
      <c r="CE8" s="21" t="s">
        <v>95</v>
      </c>
      <c r="CF8" s="21" t="s">
        <v>94</v>
      </c>
      <c r="CG8" s="21" t="s">
        <v>95</v>
      </c>
      <c r="CH8" s="21" t="s">
        <v>94</v>
      </c>
      <c r="CI8" s="21" t="s">
        <v>95</v>
      </c>
      <c r="CJ8" s="21" t="s">
        <v>94</v>
      </c>
      <c r="CK8" s="21" t="s">
        <v>95</v>
      </c>
      <c r="CL8" s="21" t="s">
        <v>94</v>
      </c>
      <c r="CM8" s="25" t="s">
        <v>95</v>
      </c>
      <c r="CN8" s="21" t="s">
        <v>94</v>
      </c>
      <c r="CO8" s="25" t="s">
        <v>95</v>
      </c>
      <c r="CP8" s="21" t="s">
        <v>94</v>
      </c>
      <c r="CQ8" s="21" t="s">
        <v>95</v>
      </c>
    </row>
    <row r="9" spans="1:95" x14ac:dyDescent="0.25">
      <c r="A9" s="26"/>
      <c r="B9" s="26"/>
      <c r="C9" s="26"/>
      <c r="D9" s="27"/>
      <c r="E9" s="28"/>
      <c r="F9" s="28"/>
      <c r="G9" s="29"/>
      <c r="H9" s="29"/>
      <c r="I9" s="29"/>
      <c r="J9" s="29"/>
      <c r="K9" s="29"/>
      <c r="L9" s="29"/>
      <c r="M9" s="106"/>
      <c r="N9" s="106"/>
      <c r="O9" s="106"/>
      <c r="P9" s="107"/>
      <c r="Q9" s="30">
        <v>1</v>
      </c>
      <c r="R9" s="30"/>
      <c r="S9" s="30">
        <v>1</v>
      </c>
      <c r="T9" s="107"/>
      <c r="U9" s="30">
        <v>1</v>
      </c>
      <c r="V9" s="30"/>
      <c r="W9" s="30">
        <v>1</v>
      </c>
      <c r="X9" s="30"/>
      <c r="Y9" s="30">
        <v>1</v>
      </c>
      <c r="Z9" s="107"/>
      <c r="AA9" s="30">
        <v>1</v>
      </c>
      <c r="AB9" s="30"/>
      <c r="AC9" s="30">
        <v>1</v>
      </c>
      <c r="AD9" s="30"/>
      <c r="AE9" s="30">
        <v>1</v>
      </c>
      <c r="AF9" s="30"/>
      <c r="AG9" s="30">
        <v>1</v>
      </c>
      <c r="AH9" s="30"/>
      <c r="AI9" s="30">
        <v>1</v>
      </c>
      <c r="AJ9" s="30"/>
      <c r="AK9" s="30"/>
      <c r="AL9" s="30"/>
      <c r="AM9" s="30">
        <v>1</v>
      </c>
      <c r="AN9" s="30"/>
      <c r="AO9" s="30">
        <v>1</v>
      </c>
      <c r="AP9" s="30"/>
      <c r="AQ9" s="30">
        <v>1</v>
      </c>
      <c r="AR9" s="30"/>
      <c r="AS9" s="30">
        <v>1</v>
      </c>
      <c r="AT9" s="30"/>
      <c r="AU9" s="30">
        <v>1</v>
      </c>
      <c r="AV9" s="30"/>
      <c r="AW9" s="30">
        <v>1</v>
      </c>
      <c r="AX9" s="30"/>
      <c r="AY9" s="30">
        <v>1</v>
      </c>
      <c r="AZ9" s="30"/>
      <c r="BA9" s="30">
        <v>1</v>
      </c>
      <c r="BB9" s="30"/>
      <c r="BC9" s="30">
        <v>1</v>
      </c>
      <c r="BD9" s="30"/>
      <c r="BE9" s="30">
        <v>1</v>
      </c>
      <c r="BF9" s="30"/>
      <c r="BG9" s="30">
        <v>1</v>
      </c>
      <c r="BH9" s="30"/>
      <c r="BI9" s="30">
        <v>1</v>
      </c>
      <c r="BJ9" s="30"/>
      <c r="BK9" s="30">
        <v>1</v>
      </c>
      <c r="BL9" s="30"/>
      <c r="BM9" s="30">
        <v>1</v>
      </c>
      <c r="BN9" s="30"/>
      <c r="BO9" s="30">
        <v>1</v>
      </c>
      <c r="BP9" s="108"/>
      <c r="BQ9" s="30">
        <v>1</v>
      </c>
      <c r="BR9" s="30"/>
      <c r="BS9" s="30">
        <v>1</v>
      </c>
      <c r="BT9" s="30"/>
      <c r="BU9" s="30">
        <v>1</v>
      </c>
      <c r="BV9" s="107"/>
      <c r="BW9" s="30">
        <v>1</v>
      </c>
      <c r="BX9" s="30"/>
      <c r="BY9" s="30">
        <v>1</v>
      </c>
      <c r="BZ9" s="30"/>
      <c r="CA9" s="30">
        <v>1</v>
      </c>
      <c r="CB9" s="30"/>
      <c r="CC9" s="30">
        <v>1</v>
      </c>
      <c r="CD9" s="30"/>
      <c r="CE9" s="30">
        <v>1</v>
      </c>
      <c r="CF9" s="30"/>
      <c r="CG9" s="30">
        <v>1</v>
      </c>
      <c r="CH9" s="30"/>
      <c r="CI9" s="30">
        <v>1</v>
      </c>
      <c r="CJ9" s="30"/>
      <c r="CK9" s="30">
        <v>1</v>
      </c>
      <c r="CL9" s="30"/>
      <c r="CM9" s="30"/>
      <c r="CN9" s="30"/>
      <c r="CO9" s="30"/>
      <c r="CP9" s="26"/>
      <c r="CQ9" s="26"/>
    </row>
    <row r="10" spans="1:95" ht="15" x14ac:dyDescent="0.25">
      <c r="A10" s="26">
        <v>1</v>
      </c>
      <c r="B10" s="26">
        <v>1</v>
      </c>
      <c r="C10" s="56" t="s">
        <v>97</v>
      </c>
      <c r="D10" s="94" t="s">
        <v>98</v>
      </c>
      <c r="E10" s="28"/>
      <c r="F10" s="28"/>
      <c r="G10" s="29">
        <v>0.5</v>
      </c>
      <c r="H10" s="29"/>
      <c r="I10" s="29"/>
      <c r="J10" s="29"/>
      <c r="K10" s="29"/>
      <c r="L10" s="29"/>
      <c r="M10" s="29"/>
      <c r="N10" s="29"/>
      <c r="O10" s="29"/>
      <c r="P10" s="96"/>
      <c r="Q10" s="95"/>
      <c r="R10" s="95"/>
      <c r="S10" s="95"/>
      <c r="T10" s="96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>
        <v>0</v>
      </c>
      <c r="CQ10" s="95">
        <v>0</v>
      </c>
    </row>
    <row r="11" spans="1:95" ht="18.75" hidden="1" customHeight="1" x14ac:dyDescent="0.25">
      <c r="A11" s="124">
        <v>2</v>
      </c>
      <c r="B11" s="124"/>
      <c r="C11" s="125" t="s">
        <v>99</v>
      </c>
      <c r="D11" s="126" t="s">
        <v>100</v>
      </c>
      <c r="E11" s="28"/>
      <c r="F11" s="127"/>
      <c r="G11" s="128">
        <v>0.8</v>
      </c>
      <c r="H11" s="128"/>
      <c r="I11" s="128"/>
      <c r="J11" s="129"/>
      <c r="K11" s="29"/>
      <c r="L11" s="97">
        <v>1.4</v>
      </c>
      <c r="M11" s="97">
        <v>1.68</v>
      </c>
      <c r="N11" s="97">
        <v>2.23</v>
      </c>
      <c r="O11" s="97">
        <v>2.57</v>
      </c>
      <c r="P11" s="130">
        <f>SUM(P12:P21)</f>
        <v>100</v>
      </c>
      <c r="Q11" s="131">
        <f t="shared" ref="Q11:BH11" si="0">SUM(Q12:Q21)</f>
        <v>1825592.1273333333</v>
      </c>
      <c r="R11" s="131">
        <f t="shared" si="0"/>
        <v>0</v>
      </c>
      <c r="S11" s="131">
        <f t="shared" si="0"/>
        <v>0</v>
      </c>
      <c r="T11" s="130">
        <f t="shared" si="0"/>
        <v>0</v>
      </c>
      <c r="U11" s="131">
        <f t="shared" si="0"/>
        <v>0</v>
      </c>
      <c r="V11" s="131">
        <f t="shared" si="0"/>
        <v>0</v>
      </c>
      <c r="W11" s="131">
        <f t="shared" si="0"/>
        <v>0</v>
      </c>
      <c r="X11" s="131">
        <f t="shared" si="0"/>
        <v>1200</v>
      </c>
      <c r="Y11" s="131">
        <f t="shared" si="0"/>
        <v>156463970.20392734</v>
      </c>
      <c r="Z11" s="131">
        <f t="shared" si="0"/>
        <v>0</v>
      </c>
      <c r="AA11" s="131">
        <f t="shared" si="0"/>
        <v>0</v>
      </c>
      <c r="AB11" s="131">
        <f t="shared" si="0"/>
        <v>0</v>
      </c>
      <c r="AC11" s="131">
        <f t="shared" si="0"/>
        <v>0</v>
      </c>
      <c r="AD11" s="131">
        <f t="shared" si="0"/>
        <v>25</v>
      </c>
      <c r="AE11" s="131">
        <f t="shared" si="0"/>
        <v>384704.21733333333</v>
      </c>
      <c r="AF11" s="131">
        <f t="shared" si="0"/>
        <v>0</v>
      </c>
      <c r="AG11" s="131">
        <f t="shared" si="0"/>
        <v>0</v>
      </c>
      <c r="AH11" s="131">
        <f>SUM(AH12:AH21)</f>
        <v>78</v>
      </c>
      <c r="AI11" s="131">
        <f t="shared" si="0"/>
        <v>1787121.7056</v>
      </c>
      <c r="AJ11" s="131">
        <v>72</v>
      </c>
      <c r="AK11" s="131">
        <v>1592460.7599999993</v>
      </c>
      <c r="AL11" s="131">
        <f t="shared" si="0"/>
        <v>185</v>
      </c>
      <c r="AM11" s="131">
        <f t="shared" si="0"/>
        <v>1471271.5966666664</v>
      </c>
      <c r="AN11" s="131">
        <f t="shared" si="0"/>
        <v>0</v>
      </c>
      <c r="AO11" s="131">
        <f t="shared" si="0"/>
        <v>0</v>
      </c>
      <c r="AP11" s="131">
        <f t="shared" si="0"/>
        <v>0</v>
      </c>
      <c r="AQ11" s="131">
        <f t="shared" si="0"/>
        <v>0</v>
      </c>
      <c r="AR11" s="131">
        <f t="shared" si="0"/>
        <v>0</v>
      </c>
      <c r="AS11" s="131">
        <f t="shared" si="0"/>
        <v>0</v>
      </c>
      <c r="AT11" s="131">
        <f t="shared" si="0"/>
        <v>0</v>
      </c>
      <c r="AU11" s="131">
        <f t="shared" si="0"/>
        <v>0</v>
      </c>
      <c r="AV11" s="131">
        <f t="shared" si="0"/>
        <v>300</v>
      </c>
      <c r="AW11" s="131">
        <f t="shared" si="0"/>
        <v>5160084.8786666673</v>
      </c>
      <c r="AX11" s="131">
        <f t="shared" si="0"/>
        <v>45</v>
      </c>
      <c r="AY11" s="131">
        <f t="shared" si="0"/>
        <v>668441.10666666669</v>
      </c>
      <c r="AZ11" s="131">
        <f t="shared" si="0"/>
        <v>0</v>
      </c>
      <c r="BA11" s="131">
        <f>SUM(BA12:BA21)</f>
        <v>0</v>
      </c>
      <c r="BB11" s="131">
        <f t="shared" si="0"/>
        <v>0</v>
      </c>
      <c r="BC11" s="131">
        <f>SUM(BC12:BC21)</f>
        <v>0</v>
      </c>
      <c r="BD11" s="131">
        <f t="shared" si="0"/>
        <v>62</v>
      </c>
      <c r="BE11" s="131">
        <f t="shared" si="0"/>
        <v>869908.32133333315</v>
      </c>
      <c r="BF11" s="131">
        <f t="shared" si="0"/>
        <v>182</v>
      </c>
      <c r="BG11" s="131">
        <f t="shared" si="0"/>
        <v>3905191.8751999997</v>
      </c>
      <c r="BH11" s="131">
        <f t="shared" si="0"/>
        <v>0</v>
      </c>
      <c r="BI11" s="131">
        <f>SUM(BI12:BI21)</f>
        <v>0</v>
      </c>
      <c r="BJ11" s="131">
        <f t="shared" ref="BJ11:BT11" si="1">SUM(BJ12:BJ21)</f>
        <v>0</v>
      </c>
      <c r="BK11" s="131">
        <f t="shared" si="1"/>
        <v>0</v>
      </c>
      <c r="BL11" s="131">
        <f t="shared" si="1"/>
        <v>0</v>
      </c>
      <c r="BM11" s="131">
        <f t="shared" si="1"/>
        <v>0</v>
      </c>
      <c r="BN11" s="131">
        <f t="shared" si="1"/>
        <v>260</v>
      </c>
      <c r="BO11" s="131">
        <f>SUM(BO12:BO21)</f>
        <v>3452365.1679999996</v>
      </c>
      <c r="BP11" s="131">
        <f t="shared" si="1"/>
        <v>0</v>
      </c>
      <c r="BQ11" s="131">
        <f>SUM(BQ12:BQ21)</f>
        <v>0</v>
      </c>
      <c r="BR11" s="131">
        <f t="shared" si="1"/>
        <v>105</v>
      </c>
      <c r="BS11" s="131">
        <f>SUM(BS12:BS21)</f>
        <v>1742202.84</v>
      </c>
      <c r="BT11" s="131">
        <f t="shared" si="1"/>
        <v>0</v>
      </c>
      <c r="BU11" s="131">
        <f>SUM(BU12:BU21)</f>
        <v>0</v>
      </c>
      <c r="BV11" s="131">
        <f t="shared" ref="BV11:CQ11" si="2">SUM(BV12:BV21)</f>
        <v>37</v>
      </c>
      <c r="BW11" s="131">
        <f t="shared" si="2"/>
        <v>727806.15600000008</v>
      </c>
      <c r="BX11" s="131">
        <f t="shared" si="2"/>
        <v>0</v>
      </c>
      <c r="BY11" s="131">
        <f t="shared" si="2"/>
        <v>0</v>
      </c>
      <c r="BZ11" s="131">
        <f t="shared" si="2"/>
        <v>28</v>
      </c>
      <c r="CA11" s="131">
        <f t="shared" si="2"/>
        <v>536248.69760000007</v>
      </c>
      <c r="CB11" s="131">
        <f t="shared" si="2"/>
        <v>0</v>
      </c>
      <c r="CC11" s="131">
        <f t="shared" si="2"/>
        <v>0</v>
      </c>
      <c r="CD11" s="131">
        <f t="shared" si="2"/>
        <v>0</v>
      </c>
      <c r="CE11" s="131">
        <f t="shared" si="2"/>
        <v>0</v>
      </c>
      <c r="CF11" s="131">
        <f t="shared" si="2"/>
        <v>0</v>
      </c>
      <c r="CG11" s="131">
        <f t="shared" si="2"/>
        <v>0</v>
      </c>
      <c r="CH11" s="131">
        <f t="shared" si="2"/>
        <v>0</v>
      </c>
      <c r="CI11" s="131">
        <f t="shared" si="2"/>
        <v>0</v>
      </c>
      <c r="CJ11" s="131">
        <f t="shared" si="2"/>
        <v>0</v>
      </c>
      <c r="CK11" s="131">
        <f t="shared" si="2"/>
        <v>0</v>
      </c>
      <c r="CL11" s="131">
        <f t="shared" si="2"/>
        <v>0</v>
      </c>
      <c r="CM11" s="131">
        <f t="shared" si="2"/>
        <v>0</v>
      </c>
      <c r="CN11" s="131">
        <f t="shared" si="2"/>
        <v>0</v>
      </c>
      <c r="CO11" s="131">
        <f t="shared" si="2"/>
        <v>0</v>
      </c>
      <c r="CP11" s="131">
        <f t="shared" si="2"/>
        <v>2679</v>
      </c>
      <c r="CQ11" s="131">
        <f t="shared" si="2"/>
        <v>180587369.65432733</v>
      </c>
    </row>
    <row r="12" spans="1:95" ht="30" hidden="1" customHeight="1" x14ac:dyDescent="0.25">
      <c r="A12" s="26"/>
      <c r="B12" s="26">
        <v>1</v>
      </c>
      <c r="C12" s="32" t="s">
        <v>101</v>
      </c>
      <c r="D12" s="109" t="s">
        <v>102</v>
      </c>
      <c r="E12" s="110">
        <v>16026</v>
      </c>
      <c r="F12" s="110">
        <v>16828</v>
      </c>
      <c r="G12" s="33">
        <v>0.83</v>
      </c>
      <c r="H12" s="34"/>
      <c r="I12" s="35">
        <v>1</v>
      </c>
      <c r="J12" s="111"/>
      <c r="K12" s="35"/>
      <c r="L12" s="97">
        <v>1.4</v>
      </c>
      <c r="M12" s="97">
        <v>1.68</v>
      </c>
      <c r="N12" s="97">
        <v>2.23</v>
      </c>
      <c r="O12" s="97">
        <v>2.57</v>
      </c>
      <c r="P12" s="36">
        <v>3</v>
      </c>
      <c r="Q12" s="36">
        <f t="shared" ref="Q12:Q17" si="3">SUM(P12/12*2*$E12*$G12*$I12*$L12*$Q$9)+(P12/12*10*$F12*$G12*$I12*$L12*$Q$9)</f>
        <v>58196.445999999996</v>
      </c>
      <c r="R12" s="37"/>
      <c r="S12" s="36">
        <f t="shared" ref="S12:S17" si="4">SUM(R12/12*2*$E12*$G12*$I12*$L12*S$9)+(R12/12*10*$F12*$G12*$I12*$L12*S$9)</f>
        <v>0</v>
      </c>
      <c r="T12" s="36"/>
      <c r="U12" s="36">
        <f t="shared" ref="U12:U17" si="5">SUM(T12/12*2*$E12*$G12*$I12*$L12*U$9)+(T12/12*10*$F12*$G12*$I12*$L12*U$9)</f>
        <v>0</v>
      </c>
      <c r="V12" s="37"/>
      <c r="W12" s="36">
        <f t="shared" ref="W12:W17" si="6">SUM(V12/12*2*$E12*$G12*$I12*$L12*$W$9)+(V12/12*10*$F12*$G12*$I12*$L12*$W$9)</f>
        <v>0</v>
      </c>
      <c r="X12" s="37"/>
      <c r="Y12" s="38">
        <f t="shared" ref="Y12:Y17" si="7">SUM(X12/12*2*$E12*$G12*$I12*$L12*Y$9)+(X12/12*10*$F12*$G12*$I12*$L12*Y$9)</f>
        <v>0</v>
      </c>
      <c r="Z12" s="36"/>
      <c r="AA12" s="36"/>
      <c r="AB12" s="37">
        <v>0</v>
      </c>
      <c r="AC12" s="36">
        <f t="shared" ref="AC12:AC17" si="8">(AB12/12*2*$E12*$G12*$I12*$L12)+(AB12/12*10*$F12*$G12*$I12*$L12)</f>
        <v>0</v>
      </c>
      <c r="AD12" s="37">
        <v>0</v>
      </c>
      <c r="AE12" s="36">
        <f t="shared" ref="AE12:AE17" si="9">(AD12/12*2*$E12*$G12*$I12*$L12*AE$9)+(AD12/12*10*$F12*$G12*$I12*$L12*AE$9)</f>
        <v>0</v>
      </c>
      <c r="AF12" s="37">
        <v>0</v>
      </c>
      <c r="AG12" s="36">
        <f t="shared" ref="AG12:AG17" si="10">(AF12/12*2*$E12*$G12*$I12*$M12*AG$9)+(AF12/12*10*$F12*$G12*$I12*$M12*AG$9)</f>
        <v>0</v>
      </c>
      <c r="AH12" s="36">
        <f>130-58</f>
        <v>72</v>
      </c>
      <c r="AI12" s="36">
        <f t="shared" ref="AI12:AI17" si="11">(AH12/12*2*$E12*$G12*$I12*$M12*$AI$9)+(AH12/12*10*$F12*$G12*$I12*$M12*$AI$9)</f>
        <v>1676057.6447999999</v>
      </c>
      <c r="AJ12" s="36">
        <v>58</v>
      </c>
      <c r="AK12" s="36">
        <v>1333014.8199999991</v>
      </c>
      <c r="AL12" s="36"/>
      <c r="AM12" s="36">
        <f t="shared" ref="AM12:AM17" si="12">SUM(AL12/12*2*$E12*$G12*$I12*$L12*AM$9)+(AL12/12*10*$F12*$G12*$I12*$L12*AM$9)</f>
        <v>0</v>
      </c>
      <c r="AN12" s="37"/>
      <c r="AO12" s="36">
        <f t="shared" ref="AO12:AO17" si="13">SUM(AN12/12*2*$E12*$G12*$I12*$L12*$AE$9)+(AN12/12*10*$F12*$G12*$I12*$L12*$AE$9)</f>
        <v>0</v>
      </c>
      <c r="AP12" s="37"/>
      <c r="AQ12" s="36"/>
      <c r="AR12" s="37"/>
      <c r="AS12" s="36">
        <f t="shared" ref="AS12:AS17" si="14">SUM(AR12/12*2*$E12*$G12*$I12*$L12*AS$9)+(AR12/12*10*$F12*$G12*$I12*$L12*AS$9)</f>
        <v>0</v>
      </c>
      <c r="AT12" s="37"/>
      <c r="AU12" s="36">
        <f t="shared" ref="AU12:AU17" si="15">SUM(AT12/12*2*$E12*$G12*$I12*$L12*$AI$9)+(AT12/12*10*$F12*$G12*$I12*$L12*$AI$9)</f>
        <v>0</v>
      </c>
      <c r="AV12" s="36">
        <v>39</v>
      </c>
      <c r="AW12" s="36">
        <f t="shared" ref="AW12:AW17" si="16">SUM(AV12/12*2*$E12*$G12*$I12*$L12*AW$9)+(AV12/12*10*$F12*$G12*$I12*$L12*AW$9)</f>
        <v>756553.79799999995</v>
      </c>
      <c r="AX12" s="36">
        <v>10</v>
      </c>
      <c r="AY12" s="36">
        <f t="shared" ref="AY12:AY17" si="17">SUM(AX12/12*2*$E12*$G12*$I12*$L12*AY$9)+(AX12/12*10*$F12*$G12*$I12*$L12*AY$9)</f>
        <v>193988.15333333332</v>
      </c>
      <c r="AZ12" s="37"/>
      <c r="BA12" s="36">
        <f t="shared" ref="BA12:BA17" si="18">SUM(AZ12/12*2*$E12*$G12*$I12*$L12*BA$9)+(AZ12/12*10*$F12*$G12*$I12*$L12*BA$9)</f>
        <v>0</v>
      </c>
      <c r="BB12" s="37"/>
      <c r="BC12" s="36">
        <f t="shared" ref="BC12:BC17" si="19">SUM(BB12/12*2*$E12*$G12*$I12*$L12*BC$9)+(BB12/12*10*$F12*$G12*$I12*$L12*BC$9)</f>
        <v>0</v>
      </c>
      <c r="BD12" s="36">
        <v>26</v>
      </c>
      <c r="BE12" s="36">
        <f t="shared" ref="BE12:BE17" si="20">SUM(BD12/12*2*$E12*$G12*$I12*$L12*BE$9)+(BD12/12*10*$F12*$G12*$I12*$L12*BE$9)</f>
        <v>504369.19866666652</v>
      </c>
      <c r="BF12" s="39">
        <v>56</v>
      </c>
      <c r="BG12" s="39">
        <f t="shared" ref="BG12:BG17" si="21">(BF12/12*2*$E12*$G12*$I12*$M12*BG$9)+(BF12/12*10*$F12*$G12*$I12*$M12*BG$9)</f>
        <v>1303600.3903999999</v>
      </c>
      <c r="BH12" s="37"/>
      <c r="BI12" s="36">
        <f t="shared" ref="BI12:BI17" si="22">(BH12/12*2*$E12*$G12*$I12*$M12*BI$9)+(BH12/12*10*$F12*$G12*$I12*$M12*BI$9)</f>
        <v>0</v>
      </c>
      <c r="BJ12" s="37"/>
      <c r="BK12" s="36">
        <f t="shared" ref="BK12:BK17" si="23">(BJ12/12*2*$E12*$G12*$I12*$M12*BK$9)+(BJ12/12*10*$F12*$G12*$I12*$M12*BK$9)</f>
        <v>0</v>
      </c>
      <c r="BL12" s="37"/>
      <c r="BM12" s="36">
        <f t="shared" ref="BM12:BM17" si="24">(BL12/12*2*$E12*$G12*$I12*$M12*BM$9)+(BL12/12*10*$F12*$G12*$I12*$M12*BM$9)</f>
        <v>0</v>
      </c>
      <c r="BN12" s="36">
        <v>82</v>
      </c>
      <c r="BO12" s="36">
        <f t="shared" ref="BO12:BO17" si="25">(BN12/12*10*$F12*$G12*$I12*$M12*BO$9)</f>
        <v>1603439.1519999998</v>
      </c>
      <c r="BP12" s="39"/>
      <c r="BQ12" s="36"/>
      <c r="BR12" s="36">
        <v>20</v>
      </c>
      <c r="BS12" s="36">
        <f t="shared" ref="BS12:BS17" si="26">(BR12/12*10*$F12*$G12*$I12*$M12*BS$9)</f>
        <v>391082.72000000003</v>
      </c>
      <c r="BT12" s="37"/>
      <c r="BU12" s="36">
        <f t="shared" ref="BU12:BU17" si="27">(BT12/12*2*$E12*$G12*$I12*$M12*BU$9)+(BT12/12*10*$F12*$G12*$I12*$M12*BU$9)</f>
        <v>0</v>
      </c>
      <c r="BV12" s="36">
        <v>9</v>
      </c>
      <c r="BW12" s="36">
        <f t="shared" ref="BW12:BW17" si="28">(BV12/12*2*$E12*$G12*$I12*$M12*BW$9)+(BV12/12*10*$F12*$G12*$I12*$M12*BW$9)</f>
        <v>209507.20559999999</v>
      </c>
      <c r="BX12" s="37"/>
      <c r="BY12" s="36">
        <f t="shared" ref="BY12:BY17" si="29">(BX12/12*2*$E12*$G12*$I12*$M12*BY$9)+(BX12/12*10*$F12*$G12*$I12*$M12*BY$9)</f>
        <v>0</v>
      </c>
      <c r="BZ12" s="36">
        <v>2</v>
      </c>
      <c r="CA12" s="36">
        <f t="shared" ref="CA12:CA17" si="30">(BZ12/12*2*$E12*$G12*$I12*$M12*CA$9)+(BZ12/12*10*$F12*$G12*$I12*$M12*CA$9)</f>
        <v>46557.15679999999</v>
      </c>
      <c r="CB12" s="37"/>
      <c r="CC12" s="36">
        <f t="shared" ref="CC12:CC17" si="31">(CB12/12*2*$E12*$G12*$I12*$M12*CC$9)+(CB12/12*10*$F12*$G12*$I12*$M12*CC$9)</f>
        <v>0</v>
      </c>
      <c r="CD12" s="37"/>
      <c r="CE12" s="36">
        <f t="shared" ref="CE12:CE17" si="32">(CD12/12*2*$E12*$G12*$I12*$M12*CE$9)+(CD12/12*10*$F12*$G12*$I12*$M12*CE$9)</f>
        <v>0</v>
      </c>
      <c r="CF12" s="37"/>
      <c r="CG12" s="36">
        <f t="shared" ref="CG12:CG17" si="33">(CF12/12*2*$E12*$G12*$I12*$N12*CG$9)+(CF12/12*10*$F12*$G12*$I12*$N12*CG$9)</f>
        <v>0</v>
      </c>
      <c r="CH12" s="40"/>
      <c r="CI12" s="36">
        <f t="shared" ref="CI12:CI17" si="34">(CH12/12*2*$E12*$G12*$I12*$O12*$CI$9)+(CH12/12*10*$F12*$G12*$I12*$O12*$CI$9)</f>
        <v>0</v>
      </c>
      <c r="CJ12" s="36"/>
      <c r="CK12" s="36"/>
      <c r="CL12" s="36"/>
      <c r="CM12" s="36"/>
      <c r="CN12" s="41"/>
      <c r="CO12" s="41"/>
      <c r="CP12" s="42">
        <f>SUM(R12+P12+T12+V12+AB12+Z12+X12+AF12+AD12+AH12+AJ12+BF12+BJ12+AL12+AT12+AV12+BT12+BV12+BR12+BX12+BZ12+BN12+AN12+AP12+AR12+BH12+BL12+AX12+AZ12+BB12+BD12+BP12+CB12+CD12+CF12+CH12+CJ12+CL12)</f>
        <v>377</v>
      </c>
      <c r="CQ12" s="42">
        <f>SUM(S12+Q12+U12+W12+AC12+AA12+Y12+AG12+AE12+AI12+AK12+BG12+BK12+AM12+AU12+AW12+BU12+BW12+BS12+BY12+CA12+BO12+AO12+AQ12+AS12+BI12+BM12+AY12+BA12+BC12+BE12+BQ12+CC12+CE12+CG12+CI12+CK12+CM12)</f>
        <v>8076366.6855999986</v>
      </c>
    </row>
    <row r="13" spans="1:95" ht="30.75" hidden="1" customHeight="1" x14ac:dyDescent="0.25">
      <c r="A13" s="26"/>
      <c r="B13" s="26">
        <v>2</v>
      </c>
      <c r="C13" s="32" t="s">
        <v>103</v>
      </c>
      <c r="D13" s="109" t="s">
        <v>104</v>
      </c>
      <c r="E13" s="110">
        <v>16026</v>
      </c>
      <c r="F13" s="110">
        <v>16828</v>
      </c>
      <c r="G13" s="33">
        <v>0.66</v>
      </c>
      <c r="H13" s="34"/>
      <c r="I13" s="35">
        <v>1</v>
      </c>
      <c r="J13" s="111"/>
      <c r="K13" s="35"/>
      <c r="L13" s="97">
        <v>1.4</v>
      </c>
      <c r="M13" s="97">
        <v>1.68</v>
      </c>
      <c r="N13" s="97">
        <v>2.23</v>
      </c>
      <c r="O13" s="97">
        <v>2.57</v>
      </c>
      <c r="P13" s="36">
        <v>5</v>
      </c>
      <c r="Q13" s="36">
        <f t="shared" si="3"/>
        <v>77127.820000000007</v>
      </c>
      <c r="R13" s="37"/>
      <c r="S13" s="36">
        <f t="shared" si="4"/>
        <v>0</v>
      </c>
      <c r="T13" s="36"/>
      <c r="U13" s="36">
        <f t="shared" si="5"/>
        <v>0</v>
      </c>
      <c r="V13" s="37"/>
      <c r="W13" s="36">
        <f t="shared" si="6"/>
        <v>0</v>
      </c>
      <c r="X13" s="37"/>
      <c r="Y13" s="38">
        <f t="shared" si="7"/>
        <v>0</v>
      </c>
      <c r="Z13" s="36"/>
      <c r="AA13" s="36"/>
      <c r="AB13" s="37">
        <v>0</v>
      </c>
      <c r="AC13" s="36">
        <f t="shared" si="8"/>
        <v>0</v>
      </c>
      <c r="AD13" s="39">
        <v>7</v>
      </c>
      <c r="AE13" s="36">
        <f t="shared" si="9"/>
        <v>107978.948</v>
      </c>
      <c r="AF13" s="37">
        <v>0</v>
      </c>
      <c r="AG13" s="36">
        <f t="shared" si="10"/>
        <v>0</v>
      </c>
      <c r="AH13" s="36">
        <v>6</v>
      </c>
      <c r="AI13" s="36">
        <f t="shared" si="11"/>
        <v>111064.06080000001</v>
      </c>
      <c r="AJ13" s="36">
        <v>14</v>
      </c>
      <c r="AK13" s="36">
        <v>259445.94000000006</v>
      </c>
      <c r="AL13" s="36"/>
      <c r="AM13" s="36">
        <f t="shared" si="12"/>
        <v>0</v>
      </c>
      <c r="AN13" s="37"/>
      <c r="AO13" s="36">
        <f t="shared" si="13"/>
        <v>0</v>
      </c>
      <c r="AP13" s="37"/>
      <c r="AQ13" s="36"/>
      <c r="AR13" s="37"/>
      <c r="AS13" s="36">
        <f t="shared" si="14"/>
        <v>0</v>
      </c>
      <c r="AT13" s="37"/>
      <c r="AU13" s="36">
        <f t="shared" si="15"/>
        <v>0</v>
      </c>
      <c r="AV13" s="36">
        <v>10</v>
      </c>
      <c r="AW13" s="36">
        <f t="shared" si="16"/>
        <v>154255.64000000001</v>
      </c>
      <c r="AX13" s="36">
        <v>25</v>
      </c>
      <c r="AY13" s="36">
        <f t="shared" si="17"/>
        <v>385639.1</v>
      </c>
      <c r="AZ13" s="37"/>
      <c r="BA13" s="36">
        <f t="shared" si="18"/>
        <v>0</v>
      </c>
      <c r="BB13" s="37"/>
      <c r="BC13" s="36">
        <f t="shared" si="19"/>
        <v>0</v>
      </c>
      <c r="BD13" s="36">
        <v>7</v>
      </c>
      <c r="BE13" s="36">
        <f t="shared" si="20"/>
        <v>107978.948</v>
      </c>
      <c r="BF13" s="39">
        <v>32</v>
      </c>
      <c r="BG13" s="39">
        <f t="shared" si="21"/>
        <v>592341.65759999992</v>
      </c>
      <c r="BH13" s="37"/>
      <c r="BI13" s="36">
        <f t="shared" si="22"/>
        <v>0</v>
      </c>
      <c r="BJ13" s="37"/>
      <c r="BK13" s="36">
        <f t="shared" si="23"/>
        <v>0</v>
      </c>
      <c r="BL13" s="37"/>
      <c r="BM13" s="36">
        <f t="shared" si="24"/>
        <v>0</v>
      </c>
      <c r="BN13" s="36">
        <v>46</v>
      </c>
      <c r="BO13" s="36">
        <f t="shared" si="25"/>
        <v>715257.31200000003</v>
      </c>
      <c r="BP13" s="39"/>
      <c r="BQ13" s="36"/>
      <c r="BR13" s="36">
        <v>60</v>
      </c>
      <c r="BS13" s="36">
        <f t="shared" si="26"/>
        <v>932944.32</v>
      </c>
      <c r="BT13" s="37"/>
      <c r="BU13" s="36">
        <f t="shared" si="27"/>
        <v>0</v>
      </c>
      <c r="BV13" s="36">
        <v>28</v>
      </c>
      <c r="BW13" s="36">
        <f t="shared" si="28"/>
        <v>518298.95040000009</v>
      </c>
      <c r="BX13" s="37"/>
      <c r="BY13" s="36">
        <f t="shared" si="29"/>
        <v>0</v>
      </c>
      <c r="BZ13" s="36">
        <v>20</v>
      </c>
      <c r="CA13" s="36">
        <f t="shared" si="30"/>
        <v>370213.53600000008</v>
      </c>
      <c r="CB13" s="37"/>
      <c r="CC13" s="36">
        <f t="shared" si="31"/>
        <v>0</v>
      </c>
      <c r="CD13" s="37"/>
      <c r="CE13" s="36">
        <f t="shared" si="32"/>
        <v>0</v>
      </c>
      <c r="CF13" s="37"/>
      <c r="CG13" s="36">
        <f t="shared" si="33"/>
        <v>0</v>
      </c>
      <c r="CH13" s="40"/>
      <c r="CI13" s="36">
        <f t="shared" si="34"/>
        <v>0</v>
      </c>
      <c r="CJ13" s="36"/>
      <c r="CK13" s="36"/>
      <c r="CL13" s="36"/>
      <c r="CM13" s="36"/>
      <c r="CN13" s="41"/>
      <c r="CO13" s="41"/>
      <c r="CP13" s="42">
        <f t="shared" ref="CP13:CQ21" si="35">SUM(R13+P13+T13+V13+AB13+Z13+X13+AF13+AD13+AH13+AJ13+BF13+BJ13+AL13+AT13+AV13+BT13+BV13+BR13+BX13+BZ13+BN13+AN13+AP13+AR13+BH13+BL13+AX13+AZ13+BB13+BD13+BP13+CB13+CD13+CF13+CH13+CJ13+CL13)</f>
        <v>260</v>
      </c>
      <c r="CQ13" s="42">
        <f t="shared" si="35"/>
        <v>4332546.2327999994</v>
      </c>
    </row>
    <row r="14" spans="1:95" ht="30" hidden="1" customHeight="1" x14ac:dyDescent="0.25">
      <c r="A14" s="26"/>
      <c r="B14" s="26">
        <v>3</v>
      </c>
      <c r="C14" s="32" t="s">
        <v>105</v>
      </c>
      <c r="D14" s="109" t="s">
        <v>106</v>
      </c>
      <c r="E14" s="110">
        <v>16026</v>
      </c>
      <c r="F14" s="110">
        <v>16828</v>
      </c>
      <c r="G14" s="97">
        <v>0.71</v>
      </c>
      <c r="H14" s="34"/>
      <c r="I14" s="35">
        <v>1</v>
      </c>
      <c r="J14" s="111"/>
      <c r="K14" s="35"/>
      <c r="L14" s="97">
        <v>1.4</v>
      </c>
      <c r="M14" s="97">
        <v>1.68</v>
      </c>
      <c r="N14" s="97">
        <v>2.23</v>
      </c>
      <c r="O14" s="97">
        <v>2.57</v>
      </c>
      <c r="P14" s="36">
        <v>72</v>
      </c>
      <c r="Q14" s="36">
        <f t="shared" si="3"/>
        <v>1194780.0479999997</v>
      </c>
      <c r="R14" s="37">
        <v>0</v>
      </c>
      <c r="S14" s="36">
        <f t="shared" si="4"/>
        <v>0</v>
      </c>
      <c r="T14" s="36">
        <v>0</v>
      </c>
      <c r="U14" s="36">
        <f t="shared" si="5"/>
        <v>0</v>
      </c>
      <c r="V14" s="37">
        <v>0</v>
      </c>
      <c r="W14" s="36">
        <f t="shared" si="6"/>
        <v>0</v>
      </c>
      <c r="X14" s="37">
        <v>0</v>
      </c>
      <c r="Y14" s="38">
        <f t="shared" si="7"/>
        <v>0</v>
      </c>
      <c r="Z14" s="37"/>
      <c r="AA14" s="36"/>
      <c r="AB14" s="37">
        <v>0</v>
      </c>
      <c r="AC14" s="36">
        <f t="shared" si="8"/>
        <v>0</v>
      </c>
      <c r="AD14" s="39">
        <v>4</v>
      </c>
      <c r="AE14" s="36">
        <f t="shared" si="9"/>
        <v>66376.669333333324</v>
      </c>
      <c r="AF14" s="37">
        <v>0</v>
      </c>
      <c r="AG14" s="36">
        <f t="shared" si="10"/>
        <v>0</v>
      </c>
      <c r="AH14" s="37"/>
      <c r="AI14" s="36">
        <f t="shared" si="11"/>
        <v>0</v>
      </c>
      <c r="AJ14" s="36">
        <v>0</v>
      </c>
      <c r="AK14" s="36">
        <v>0</v>
      </c>
      <c r="AL14" s="36">
        <v>5</v>
      </c>
      <c r="AM14" s="36">
        <f t="shared" si="12"/>
        <v>82970.836666666655</v>
      </c>
      <c r="AN14" s="37">
        <v>0</v>
      </c>
      <c r="AO14" s="36">
        <f t="shared" si="13"/>
        <v>0</v>
      </c>
      <c r="AP14" s="37"/>
      <c r="AQ14" s="36"/>
      <c r="AR14" s="37"/>
      <c r="AS14" s="36">
        <f t="shared" si="14"/>
        <v>0</v>
      </c>
      <c r="AT14" s="37"/>
      <c r="AU14" s="36">
        <f t="shared" si="15"/>
        <v>0</v>
      </c>
      <c r="AV14" s="36">
        <v>35</v>
      </c>
      <c r="AW14" s="36">
        <f t="shared" si="16"/>
        <v>580795.85666666657</v>
      </c>
      <c r="AX14" s="37">
        <v>0</v>
      </c>
      <c r="AY14" s="36">
        <f t="shared" si="17"/>
        <v>0</v>
      </c>
      <c r="AZ14" s="37">
        <v>0</v>
      </c>
      <c r="BA14" s="36">
        <f t="shared" si="18"/>
        <v>0</v>
      </c>
      <c r="BB14" s="37"/>
      <c r="BC14" s="36">
        <f t="shared" si="19"/>
        <v>0</v>
      </c>
      <c r="BD14" s="37"/>
      <c r="BE14" s="36">
        <f t="shared" si="20"/>
        <v>0</v>
      </c>
      <c r="BF14" s="39">
        <v>80</v>
      </c>
      <c r="BG14" s="39">
        <f t="shared" si="21"/>
        <v>1593040.064</v>
      </c>
      <c r="BH14" s="37">
        <v>0</v>
      </c>
      <c r="BI14" s="36">
        <f t="shared" si="22"/>
        <v>0</v>
      </c>
      <c r="BJ14" s="37">
        <v>0</v>
      </c>
      <c r="BK14" s="36">
        <f t="shared" si="23"/>
        <v>0</v>
      </c>
      <c r="BL14" s="37">
        <v>0</v>
      </c>
      <c r="BM14" s="36">
        <f t="shared" si="24"/>
        <v>0</v>
      </c>
      <c r="BN14" s="36">
        <v>12</v>
      </c>
      <c r="BO14" s="36">
        <f t="shared" si="25"/>
        <v>200724.38399999996</v>
      </c>
      <c r="BP14" s="39"/>
      <c r="BQ14" s="36"/>
      <c r="BR14" s="36">
        <v>25</v>
      </c>
      <c r="BS14" s="36">
        <f t="shared" si="26"/>
        <v>418175.8</v>
      </c>
      <c r="BT14" s="37">
        <v>0</v>
      </c>
      <c r="BU14" s="36">
        <f t="shared" si="27"/>
        <v>0</v>
      </c>
      <c r="BV14" s="36"/>
      <c r="BW14" s="36">
        <f t="shared" si="28"/>
        <v>0</v>
      </c>
      <c r="BX14" s="37"/>
      <c r="BY14" s="36">
        <f t="shared" si="29"/>
        <v>0</v>
      </c>
      <c r="BZ14" s="36">
        <v>6</v>
      </c>
      <c r="CA14" s="36">
        <f t="shared" si="30"/>
        <v>119478.00479999998</v>
      </c>
      <c r="CB14" s="37"/>
      <c r="CC14" s="36">
        <f t="shared" si="31"/>
        <v>0</v>
      </c>
      <c r="CD14" s="37">
        <v>0</v>
      </c>
      <c r="CE14" s="36">
        <f t="shared" si="32"/>
        <v>0</v>
      </c>
      <c r="CF14" s="37">
        <v>0</v>
      </c>
      <c r="CG14" s="36">
        <f t="shared" si="33"/>
        <v>0</v>
      </c>
      <c r="CH14" s="40"/>
      <c r="CI14" s="36">
        <f t="shared" si="34"/>
        <v>0</v>
      </c>
      <c r="CJ14" s="36"/>
      <c r="CK14" s="36"/>
      <c r="CL14" s="36"/>
      <c r="CM14" s="36"/>
      <c r="CN14" s="41"/>
      <c r="CO14" s="41"/>
      <c r="CP14" s="42">
        <f t="shared" si="35"/>
        <v>239</v>
      </c>
      <c r="CQ14" s="42">
        <f t="shared" si="35"/>
        <v>4256341.663466665</v>
      </c>
    </row>
    <row r="15" spans="1:95" ht="30" hidden="1" customHeight="1" x14ac:dyDescent="0.25">
      <c r="A15" s="26"/>
      <c r="B15" s="26">
        <v>4</v>
      </c>
      <c r="C15" s="32" t="s">
        <v>107</v>
      </c>
      <c r="D15" s="109" t="s">
        <v>108</v>
      </c>
      <c r="E15" s="110">
        <v>16026</v>
      </c>
      <c r="F15" s="110">
        <v>16828</v>
      </c>
      <c r="G15" s="97">
        <v>1.06</v>
      </c>
      <c r="H15" s="34"/>
      <c r="I15" s="35">
        <v>1</v>
      </c>
      <c r="J15" s="111"/>
      <c r="K15" s="35"/>
      <c r="L15" s="97">
        <v>1.4</v>
      </c>
      <c r="M15" s="97">
        <v>1.68</v>
      </c>
      <c r="N15" s="97">
        <v>2.23</v>
      </c>
      <c r="O15" s="97">
        <v>2.57</v>
      </c>
      <c r="P15" s="36">
        <v>20</v>
      </c>
      <c r="Q15" s="36">
        <f t="shared" si="3"/>
        <v>495487.81333333335</v>
      </c>
      <c r="R15" s="37">
        <v>0</v>
      </c>
      <c r="S15" s="36">
        <f t="shared" si="4"/>
        <v>0</v>
      </c>
      <c r="T15" s="36">
        <v>0</v>
      </c>
      <c r="U15" s="36">
        <f t="shared" si="5"/>
        <v>0</v>
      </c>
      <c r="V15" s="37">
        <v>0</v>
      </c>
      <c r="W15" s="36">
        <f t="shared" si="6"/>
        <v>0</v>
      </c>
      <c r="X15" s="37">
        <v>0</v>
      </c>
      <c r="Y15" s="38">
        <f t="shared" si="7"/>
        <v>0</v>
      </c>
      <c r="Z15" s="37"/>
      <c r="AA15" s="36"/>
      <c r="AB15" s="37">
        <v>0</v>
      </c>
      <c r="AC15" s="36">
        <f t="shared" si="8"/>
        <v>0</v>
      </c>
      <c r="AD15" s="39">
        <v>6</v>
      </c>
      <c r="AE15" s="36">
        <f t="shared" si="9"/>
        <v>148646.34400000001</v>
      </c>
      <c r="AF15" s="37">
        <v>0</v>
      </c>
      <c r="AG15" s="36">
        <f t="shared" si="10"/>
        <v>0</v>
      </c>
      <c r="AH15" s="37"/>
      <c r="AI15" s="36">
        <f t="shared" si="11"/>
        <v>0</v>
      </c>
      <c r="AJ15" s="36">
        <v>0</v>
      </c>
      <c r="AK15" s="36">
        <v>0</v>
      </c>
      <c r="AL15" s="36"/>
      <c r="AM15" s="36">
        <f t="shared" si="12"/>
        <v>0</v>
      </c>
      <c r="AN15" s="37">
        <v>0</v>
      </c>
      <c r="AO15" s="36">
        <f t="shared" si="13"/>
        <v>0</v>
      </c>
      <c r="AP15" s="37"/>
      <c r="AQ15" s="36"/>
      <c r="AR15" s="37"/>
      <c r="AS15" s="36">
        <f t="shared" si="14"/>
        <v>0</v>
      </c>
      <c r="AT15" s="37"/>
      <c r="AU15" s="36">
        <f t="shared" si="15"/>
        <v>0</v>
      </c>
      <c r="AV15" s="36">
        <v>116</v>
      </c>
      <c r="AW15" s="36">
        <f t="shared" si="16"/>
        <v>2873829.3173333332</v>
      </c>
      <c r="AX15" s="37">
        <v>0</v>
      </c>
      <c r="AY15" s="36">
        <f t="shared" si="17"/>
        <v>0</v>
      </c>
      <c r="AZ15" s="37">
        <v>0</v>
      </c>
      <c r="BA15" s="36">
        <f t="shared" si="18"/>
        <v>0</v>
      </c>
      <c r="BB15" s="37"/>
      <c r="BC15" s="36">
        <f t="shared" si="19"/>
        <v>0</v>
      </c>
      <c r="BD15" s="37"/>
      <c r="BE15" s="36">
        <f t="shared" si="20"/>
        <v>0</v>
      </c>
      <c r="BF15" s="39">
        <v>14</v>
      </c>
      <c r="BG15" s="39">
        <f t="shared" si="21"/>
        <v>416209.76320000004</v>
      </c>
      <c r="BH15" s="37">
        <v>0</v>
      </c>
      <c r="BI15" s="36">
        <f t="shared" si="22"/>
        <v>0</v>
      </c>
      <c r="BJ15" s="37">
        <v>0</v>
      </c>
      <c r="BK15" s="36">
        <f t="shared" si="23"/>
        <v>0</v>
      </c>
      <c r="BL15" s="37">
        <v>0</v>
      </c>
      <c r="BM15" s="36">
        <f t="shared" si="24"/>
        <v>0</v>
      </c>
      <c r="BN15" s="36"/>
      <c r="BO15" s="36">
        <f t="shared" si="25"/>
        <v>0</v>
      </c>
      <c r="BP15" s="39"/>
      <c r="BQ15" s="36"/>
      <c r="BR15" s="37">
        <v>0</v>
      </c>
      <c r="BS15" s="36">
        <f t="shared" si="26"/>
        <v>0</v>
      </c>
      <c r="BT15" s="37">
        <v>0</v>
      </c>
      <c r="BU15" s="36">
        <f t="shared" si="27"/>
        <v>0</v>
      </c>
      <c r="BV15" s="36"/>
      <c r="BW15" s="36">
        <f t="shared" si="28"/>
        <v>0</v>
      </c>
      <c r="BX15" s="37"/>
      <c r="BY15" s="36">
        <f t="shared" si="29"/>
        <v>0</v>
      </c>
      <c r="BZ15" s="37"/>
      <c r="CA15" s="36">
        <f t="shared" si="30"/>
        <v>0</v>
      </c>
      <c r="CB15" s="37"/>
      <c r="CC15" s="36">
        <f t="shared" si="31"/>
        <v>0</v>
      </c>
      <c r="CD15" s="37">
        <v>0</v>
      </c>
      <c r="CE15" s="36">
        <f t="shared" si="32"/>
        <v>0</v>
      </c>
      <c r="CF15" s="37">
        <v>0</v>
      </c>
      <c r="CG15" s="36">
        <f t="shared" si="33"/>
        <v>0</v>
      </c>
      <c r="CH15" s="37"/>
      <c r="CI15" s="36">
        <f t="shared" si="34"/>
        <v>0</v>
      </c>
      <c r="CJ15" s="36"/>
      <c r="CK15" s="36"/>
      <c r="CL15" s="36"/>
      <c r="CM15" s="36"/>
      <c r="CN15" s="41"/>
      <c r="CO15" s="41"/>
      <c r="CP15" s="42">
        <f t="shared" si="35"/>
        <v>156</v>
      </c>
      <c r="CQ15" s="42">
        <f t="shared" si="35"/>
        <v>3934173.2378666666</v>
      </c>
    </row>
    <row r="16" spans="1:95" ht="30" hidden="1" customHeight="1" x14ac:dyDescent="0.25">
      <c r="A16" s="26"/>
      <c r="B16" s="26">
        <v>5</v>
      </c>
      <c r="C16" s="32" t="s">
        <v>109</v>
      </c>
      <c r="D16" s="109" t="s">
        <v>110</v>
      </c>
      <c r="E16" s="110">
        <v>16026</v>
      </c>
      <c r="F16" s="110">
        <v>16828</v>
      </c>
      <c r="G16" s="97">
        <v>0.33</v>
      </c>
      <c r="H16" s="34"/>
      <c r="I16" s="35">
        <v>1</v>
      </c>
      <c r="J16" s="111"/>
      <c r="K16" s="35"/>
      <c r="L16" s="97">
        <v>1.4</v>
      </c>
      <c r="M16" s="97">
        <v>1.68</v>
      </c>
      <c r="N16" s="97">
        <v>2.23</v>
      </c>
      <c r="O16" s="97">
        <v>2.57</v>
      </c>
      <c r="P16" s="36"/>
      <c r="Q16" s="36">
        <f t="shared" si="3"/>
        <v>0</v>
      </c>
      <c r="R16" s="37"/>
      <c r="S16" s="36">
        <f t="shared" si="4"/>
        <v>0</v>
      </c>
      <c r="T16" s="36"/>
      <c r="U16" s="36">
        <f t="shared" si="5"/>
        <v>0</v>
      </c>
      <c r="V16" s="37"/>
      <c r="W16" s="36">
        <f t="shared" si="6"/>
        <v>0</v>
      </c>
      <c r="X16" s="37"/>
      <c r="Y16" s="38">
        <f t="shared" si="7"/>
        <v>0</v>
      </c>
      <c r="Z16" s="37"/>
      <c r="AA16" s="36"/>
      <c r="AB16" s="37"/>
      <c r="AC16" s="36">
        <f t="shared" si="8"/>
        <v>0</v>
      </c>
      <c r="AD16" s="39">
        <v>8</v>
      </c>
      <c r="AE16" s="36">
        <f t="shared" si="9"/>
        <v>61702.255999999994</v>
      </c>
      <c r="AF16" s="37"/>
      <c r="AG16" s="36">
        <f t="shared" si="10"/>
        <v>0</v>
      </c>
      <c r="AH16" s="37"/>
      <c r="AI16" s="36">
        <f t="shared" si="11"/>
        <v>0</v>
      </c>
      <c r="AJ16" s="36">
        <v>0</v>
      </c>
      <c r="AK16" s="36">
        <v>0</v>
      </c>
      <c r="AL16" s="36">
        <v>180</v>
      </c>
      <c r="AM16" s="36">
        <f t="shared" si="12"/>
        <v>1388300.7599999998</v>
      </c>
      <c r="AN16" s="37"/>
      <c r="AO16" s="36">
        <f t="shared" si="13"/>
        <v>0</v>
      </c>
      <c r="AP16" s="37"/>
      <c r="AQ16" s="36"/>
      <c r="AR16" s="37"/>
      <c r="AS16" s="36">
        <f t="shared" si="14"/>
        <v>0</v>
      </c>
      <c r="AT16" s="37"/>
      <c r="AU16" s="36">
        <f t="shared" si="15"/>
        <v>0</v>
      </c>
      <c r="AV16" s="36">
        <v>80</v>
      </c>
      <c r="AW16" s="36">
        <f t="shared" si="16"/>
        <v>617022.56000000006</v>
      </c>
      <c r="AX16" s="37"/>
      <c r="AY16" s="36">
        <f t="shared" si="17"/>
        <v>0</v>
      </c>
      <c r="AZ16" s="37"/>
      <c r="BA16" s="36">
        <f t="shared" si="18"/>
        <v>0</v>
      </c>
      <c r="BB16" s="37"/>
      <c r="BC16" s="36">
        <f t="shared" si="19"/>
        <v>0</v>
      </c>
      <c r="BD16" s="37"/>
      <c r="BE16" s="36">
        <f t="shared" si="20"/>
        <v>0</v>
      </c>
      <c r="BF16" s="39"/>
      <c r="BG16" s="39">
        <f t="shared" si="21"/>
        <v>0</v>
      </c>
      <c r="BH16" s="37"/>
      <c r="BI16" s="36">
        <f t="shared" si="22"/>
        <v>0</v>
      </c>
      <c r="BJ16" s="37"/>
      <c r="BK16" s="36">
        <f t="shared" si="23"/>
        <v>0</v>
      </c>
      <c r="BL16" s="37"/>
      <c r="BM16" s="36">
        <f t="shared" si="24"/>
        <v>0</v>
      </c>
      <c r="BN16" s="36">
        <v>120</v>
      </c>
      <c r="BO16" s="36">
        <f t="shared" si="25"/>
        <v>932944.32</v>
      </c>
      <c r="BP16" s="39"/>
      <c r="BQ16" s="36"/>
      <c r="BR16" s="37"/>
      <c r="BS16" s="36">
        <f t="shared" si="26"/>
        <v>0</v>
      </c>
      <c r="BT16" s="37"/>
      <c r="BU16" s="36">
        <f t="shared" si="27"/>
        <v>0</v>
      </c>
      <c r="BV16" s="36"/>
      <c r="BW16" s="36">
        <f t="shared" si="28"/>
        <v>0</v>
      </c>
      <c r="BX16" s="37"/>
      <c r="BY16" s="36">
        <f t="shared" si="29"/>
        <v>0</v>
      </c>
      <c r="BZ16" s="37"/>
      <c r="CA16" s="36">
        <f t="shared" si="30"/>
        <v>0</v>
      </c>
      <c r="CB16" s="37"/>
      <c r="CC16" s="36">
        <f t="shared" si="31"/>
        <v>0</v>
      </c>
      <c r="CD16" s="37"/>
      <c r="CE16" s="36">
        <f t="shared" si="32"/>
        <v>0</v>
      </c>
      <c r="CF16" s="37"/>
      <c r="CG16" s="36">
        <f t="shared" si="33"/>
        <v>0</v>
      </c>
      <c r="CH16" s="37"/>
      <c r="CI16" s="36">
        <f t="shared" si="34"/>
        <v>0</v>
      </c>
      <c r="CJ16" s="36"/>
      <c r="CK16" s="36"/>
      <c r="CL16" s="36"/>
      <c r="CM16" s="36"/>
      <c r="CN16" s="41"/>
      <c r="CO16" s="41"/>
      <c r="CP16" s="42">
        <f t="shared" si="35"/>
        <v>388</v>
      </c>
      <c r="CQ16" s="42">
        <f t="shared" si="35"/>
        <v>2999969.8959999997</v>
      </c>
    </row>
    <row r="17" spans="1:95" ht="23.25" hidden="1" customHeight="1" x14ac:dyDescent="0.25">
      <c r="A17" s="26"/>
      <c r="B17" s="26">
        <v>6</v>
      </c>
      <c r="C17" s="32" t="s">
        <v>111</v>
      </c>
      <c r="D17" s="109" t="s">
        <v>112</v>
      </c>
      <c r="E17" s="110">
        <v>16026</v>
      </c>
      <c r="F17" s="110">
        <v>16828</v>
      </c>
      <c r="G17" s="97">
        <v>0.38</v>
      </c>
      <c r="H17" s="34"/>
      <c r="I17" s="35">
        <v>1</v>
      </c>
      <c r="J17" s="111"/>
      <c r="K17" s="35"/>
      <c r="L17" s="97">
        <v>1.4</v>
      </c>
      <c r="M17" s="97">
        <v>1.68</v>
      </c>
      <c r="N17" s="97">
        <v>2.23</v>
      </c>
      <c r="O17" s="97">
        <v>2.57</v>
      </c>
      <c r="P17" s="36"/>
      <c r="Q17" s="36">
        <f t="shared" si="3"/>
        <v>0</v>
      </c>
      <c r="R17" s="37"/>
      <c r="S17" s="36">
        <f t="shared" si="4"/>
        <v>0</v>
      </c>
      <c r="T17" s="36"/>
      <c r="U17" s="36">
        <f t="shared" si="5"/>
        <v>0</v>
      </c>
      <c r="V17" s="37"/>
      <c r="W17" s="36">
        <f t="shared" si="6"/>
        <v>0</v>
      </c>
      <c r="X17" s="37"/>
      <c r="Y17" s="38">
        <f t="shared" si="7"/>
        <v>0</v>
      </c>
      <c r="Z17" s="37"/>
      <c r="AA17" s="36"/>
      <c r="AB17" s="37"/>
      <c r="AC17" s="36">
        <f t="shared" si="8"/>
        <v>0</v>
      </c>
      <c r="AD17" s="39"/>
      <c r="AE17" s="36">
        <f t="shared" si="9"/>
        <v>0</v>
      </c>
      <c r="AF17" s="37"/>
      <c r="AG17" s="36">
        <f t="shared" si="10"/>
        <v>0</v>
      </c>
      <c r="AH17" s="37"/>
      <c r="AI17" s="36">
        <f t="shared" si="11"/>
        <v>0</v>
      </c>
      <c r="AJ17" s="36">
        <v>0</v>
      </c>
      <c r="AK17" s="36">
        <v>0</v>
      </c>
      <c r="AL17" s="36"/>
      <c r="AM17" s="36">
        <f t="shared" si="12"/>
        <v>0</v>
      </c>
      <c r="AN17" s="37"/>
      <c r="AO17" s="36">
        <f t="shared" si="13"/>
        <v>0</v>
      </c>
      <c r="AP17" s="37"/>
      <c r="AQ17" s="36"/>
      <c r="AR17" s="37"/>
      <c r="AS17" s="36">
        <f t="shared" si="14"/>
        <v>0</v>
      </c>
      <c r="AT17" s="37"/>
      <c r="AU17" s="36">
        <f t="shared" si="15"/>
        <v>0</v>
      </c>
      <c r="AV17" s="36">
        <v>20</v>
      </c>
      <c r="AW17" s="36">
        <f t="shared" si="16"/>
        <v>177627.70666666667</v>
      </c>
      <c r="AX17" s="36">
        <v>10</v>
      </c>
      <c r="AY17" s="36">
        <f t="shared" si="17"/>
        <v>88813.853333333333</v>
      </c>
      <c r="AZ17" s="37"/>
      <c r="BA17" s="36">
        <f t="shared" si="18"/>
        <v>0</v>
      </c>
      <c r="BB17" s="37"/>
      <c r="BC17" s="36">
        <f t="shared" si="19"/>
        <v>0</v>
      </c>
      <c r="BD17" s="36">
        <v>29</v>
      </c>
      <c r="BE17" s="36">
        <f t="shared" si="20"/>
        <v>257560.17466666666</v>
      </c>
      <c r="BF17" s="39"/>
      <c r="BG17" s="39">
        <f t="shared" si="21"/>
        <v>0</v>
      </c>
      <c r="BH17" s="37"/>
      <c r="BI17" s="36">
        <f t="shared" si="22"/>
        <v>0</v>
      </c>
      <c r="BJ17" s="37"/>
      <c r="BK17" s="36">
        <f t="shared" si="23"/>
        <v>0</v>
      </c>
      <c r="BL17" s="37"/>
      <c r="BM17" s="36">
        <f t="shared" si="24"/>
        <v>0</v>
      </c>
      <c r="BN17" s="36"/>
      <c r="BO17" s="36">
        <f t="shared" si="25"/>
        <v>0</v>
      </c>
      <c r="BP17" s="39"/>
      <c r="BQ17" s="36"/>
      <c r="BR17" s="36"/>
      <c r="BS17" s="36">
        <f t="shared" si="26"/>
        <v>0</v>
      </c>
      <c r="BT17" s="37"/>
      <c r="BU17" s="36">
        <f t="shared" si="27"/>
        <v>0</v>
      </c>
      <c r="BV17" s="36"/>
      <c r="BW17" s="36">
        <f t="shared" si="28"/>
        <v>0</v>
      </c>
      <c r="BX17" s="37"/>
      <c r="BY17" s="36">
        <f t="shared" si="29"/>
        <v>0</v>
      </c>
      <c r="BZ17" s="37"/>
      <c r="CA17" s="36">
        <f t="shared" si="30"/>
        <v>0</v>
      </c>
      <c r="CB17" s="37"/>
      <c r="CC17" s="36">
        <f t="shared" si="31"/>
        <v>0</v>
      </c>
      <c r="CD17" s="37"/>
      <c r="CE17" s="36">
        <f t="shared" si="32"/>
        <v>0</v>
      </c>
      <c r="CF17" s="37"/>
      <c r="CG17" s="36">
        <f t="shared" si="33"/>
        <v>0</v>
      </c>
      <c r="CH17" s="37"/>
      <c r="CI17" s="36">
        <f t="shared" si="34"/>
        <v>0</v>
      </c>
      <c r="CJ17" s="36"/>
      <c r="CK17" s="36"/>
      <c r="CL17" s="36"/>
      <c r="CM17" s="36"/>
      <c r="CN17" s="41"/>
      <c r="CO17" s="41"/>
      <c r="CP17" s="42">
        <f t="shared" si="35"/>
        <v>59</v>
      </c>
      <c r="CQ17" s="42">
        <f t="shared" si="35"/>
        <v>524001.73466666666</v>
      </c>
    </row>
    <row r="18" spans="1:95" s="52" customFormat="1" ht="30" hidden="1" customHeight="1" x14ac:dyDescent="0.25">
      <c r="A18" s="43"/>
      <c r="B18" s="26">
        <v>7</v>
      </c>
      <c r="C18" s="44" t="s">
        <v>113</v>
      </c>
      <c r="D18" s="64" t="s">
        <v>114</v>
      </c>
      <c r="E18" s="110">
        <v>16026</v>
      </c>
      <c r="F18" s="110">
        <v>16828</v>
      </c>
      <c r="G18" s="45">
        <v>3.19</v>
      </c>
      <c r="H18" s="46">
        <v>0.1893</v>
      </c>
      <c r="I18" s="47">
        <v>1.4</v>
      </c>
      <c r="J18" s="47">
        <v>1.3</v>
      </c>
      <c r="K18" s="112"/>
      <c r="L18" s="113">
        <v>1.4</v>
      </c>
      <c r="M18" s="113">
        <v>1.68</v>
      </c>
      <c r="N18" s="113">
        <v>2.23</v>
      </c>
      <c r="O18" s="113">
        <v>2.57</v>
      </c>
      <c r="P18" s="50"/>
      <c r="Q18" s="48">
        <f>(P18/12*2*$E18*$G18*((1-$H18)+$H18*$L18*$I18))+(P18/12*10*$F18*$G18*((1-$H18)+$H18*$L18*$I18))</f>
        <v>0</v>
      </c>
      <c r="R18" s="49"/>
      <c r="S18" s="48">
        <f>(R18/12*2*$E18*$G18*((1-$H18)+$H18*$L18*$I18))+(R18/12*10*$F18*$G18*((1-$H18)+$H18*$L18*$I18))</f>
        <v>0</v>
      </c>
      <c r="T18" s="50"/>
      <c r="U18" s="48">
        <f>(T18/12*2*$E18*$G18*((1-$H18)+$H18*$L18*$I18))+(T18/12*10*$F18*$G18*((1-$H18)+$H18*$L18*$I18))</f>
        <v>0</v>
      </c>
      <c r="V18" s="49"/>
      <c r="W18" s="48">
        <f>(V18/12*2*$E18*$G18*((1-$H18)+$H18*$L18*$I18))+(V18/12*10*$F18*$G18*((1-$H18)+$H18*$L18*$I18))</f>
        <v>0</v>
      </c>
      <c r="X18" s="36">
        <v>570</v>
      </c>
      <c r="Y18" s="48">
        <f>(X18/12*2*$E18*$G18*((1-$H18)+$H18*$L18*$I18))+(X18/12*10*$F18*$G18*((1-$H18)+$H18*$L18*$J18))</f>
        <v>35195950.790532395</v>
      </c>
      <c r="Z18" s="36"/>
      <c r="AA18" s="48">
        <f>(Z18/12*2*$E18*$G18*((1-$H18)+$H18*$L18*$I18))+(Z18/12*10*$F18*$G18*((1-$H18)+$H18*$L18*$J18))</f>
        <v>0</v>
      </c>
      <c r="AB18" s="49"/>
      <c r="AC18" s="36"/>
      <c r="AD18" s="49"/>
      <c r="AE18" s="48">
        <f>(AD18/12*2*$E18*$G18*((1-$H18)+$H18*$L18*$I18))+(AD18/12*10*$F18*$G18*((1-$H18)+$H18*$L18*$J18))</f>
        <v>0</v>
      </c>
      <c r="AF18" s="49"/>
      <c r="AG18" s="48">
        <f>(AF18/12*2*$E18*$G18*((1-$H18)+$H18*$M18*$I18))+(AF18/12*10*$F18*$G18*((1-$H18)+$H18*$M18*$J18))</f>
        <v>0</v>
      </c>
      <c r="AH18" s="49"/>
      <c r="AI18" s="48">
        <f>(AH18/12*2*$E18*$G18*((1-$H18)+$H18*$M18*$I18))+(AH18/12*10*$F18*$G18*((1-$H18)+$H18*$M18*$J18))</f>
        <v>0</v>
      </c>
      <c r="AJ18" s="48">
        <v>0</v>
      </c>
      <c r="AK18" s="48">
        <v>0</v>
      </c>
      <c r="AL18" s="49"/>
      <c r="AM18" s="36"/>
      <c r="AN18" s="49"/>
      <c r="AO18" s="36"/>
      <c r="AP18" s="49"/>
      <c r="AQ18" s="36"/>
      <c r="AR18" s="49"/>
      <c r="AS18" s="36"/>
      <c r="AT18" s="49"/>
      <c r="AU18" s="36"/>
      <c r="AV18" s="50"/>
      <c r="AW18" s="48"/>
      <c r="AX18" s="49"/>
      <c r="AY18" s="48"/>
      <c r="AZ18" s="49"/>
      <c r="BA18" s="48"/>
      <c r="BB18" s="49"/>
      <c r="BC18" s="48"/>
      <c r="BD18" s="49"/>
      <c r="BE18" s="48"/>
      <c r="BF18" s="49"/>
      <c r="BG18" s="48"/>
      <c r="BH18" s="50"/>
      <c r="BI18" s="48"/>
      <c r="BJ18" s="49"/>
      <c r="BK18" s="48"/>
      <c r="BL18" s="49"/>
      <c r="BM18" s="48"/>
      <c r="BN18" s="49"/>
      <c r="BO18" s="48"/>
      <c r="BP18" s="51"/>
      <c r="BQ18" s="48"/>
      <c r="BR18" s="49"/>
      <c r="BS18" s="48"/>
      <c r="BT18" s="49"/>
      <c r="BU18" s="48"/>
      <c r="BV18" s="50"/>
      <c r="BW18" s="48"/>
      <c r="BX18" s="49"/>
      <c r="BY18" s="48"/>
      <c r="BZ18" s="49"/>
      <c r="CA18" s="48"/>
      <c r="CB18" s="49"/>
      <c r="CC18" s="48"/>
      <c r="CD18" s="49"/>
      <c r="CE18" s="48"/>
      <c r="CF18" s="49"/>
      <c r="CG18" s="48"/>
      <c r="CH18" s="49"/>
      <c r="CI18" s="48"/>
      <c r="CJ18" s="36"/>
      <c r="CK18" s="36"/>
      <c r="CL18" s="36"/>
      <c r="CM18" s="36"/>
      <c r="CN18" s="41"/>
      <c r="CO18" s="41"/>
      <c r="CP18" s="42">
        <f t="shared" si="35"/>
        <v>570</v>
      </c>
      <c r="CQ18" s="42">
        <f t="shared" si="35"/>
        <v>35195950.790532395</v>
      </c>
    </row>
    <row r="19" spans="1:95" s="52" customFormat="1" ht="30" hidden="1" customHeight="1" x14ac:dyDescent="0.25">
      <c r="A19" s="43"/>
      <c r="B19" s="26">
        <v>8</v>
      </c>
      <c r="C19" s="44" t="s">
        <v>115</v>
      </c>
      <c r="D19" s="64" t="s">
        <v>116</v>
      </c>
      <c r="E19" s="110">
        <v>16026</v>
      </c>
      <c r="F19" s="110">
        <v>16828</v>
      </c>
      <c r="G19" s="45">
        <v>6.1</v>
      </c>
      <c r="H19" s="46">
        <v>0.24099999999999999</v>
      </c>
      <c r="I19" s="35">
        <v>1</v>
      </c>
      <c r="J19" s="35"/>
      <c r="K19" s="112"/>
      <c r="L19" s="113">
        <v>1.4</v>
      </c>
      <c r="M19" s="113">
        <v>1.68</v>
      </c>
      <c r="N19" s="113">
        <v>2.23</v>
      </c>
      <c r="O19" s="113">
        <v>2.57</v>
      </c>
      <c r="P19" s="50"/>
      <c r="Q19" s="48">
        <f>(P19/12*2*$E19*$G19*((1-$H19)+$H19*$L19*$I19))+(P19/12*10*$F19*$G19*((1-$H19)+$H19*$L19*$I19))</f>
        <v>0</v>
      </c>
      <c r="R19" s="49"/>
      <c r="S19" s="48">
        <f>(R19/12*2*$E19*$G19*((1-$H19)+$H19*$L19*$I19))+(R19/12*10*$F19*$G19*((1-$H19)+$H19*$L19*$I19))</f>
        <v>0</v>
      </c>
      <c r="T19" s="50"/>
      <c r="U19" s="48">
        <f>(T19/12*2*$E19*$G19*((1-$H19)+$H19*$L19*$I19))+(T19/12*10*$F19*$G19*((1-$H19)+$H19*$L19*$I19))</f>
        <v>0</v>
      </c>
      <c r="V19" s="49"/>
      <c r="W19" s="48">
        <f>(V19/12*2*$E19*$G19*((1-$H19)+$H19*$L19*$I19))+(V19/12*10*$F19*$G19*((1-$H19)+$H19*$L19*$I19))</f>
        <v>0</v>
      </c>
      <c r="X19" s="36">
        <v>60</v>
      </c>
      <c r="Y19" s="48">
        <f>(X19/12*2*$E19*$G19*((1-$H19)+$H19*$L19*$I19))+(X19/12*10*$F19*$G19*((1-$H19)+$H19*$L19*$I19))</f>
        <v>6699142.1464000009</v>
      </c>
      <c r="Z19" s="36"/>
      <c r="AA19" s="48">
        <f>(Z19/12*2*$E19*$G19*((1-$H19)+$H19*$L19*$I19))+(Z19/12*10*$F19*$G19*((1-$H19)+$H19*$L19*$I19))</f>
        <v>0</v>
      </c>
      <c r="AB19" s="49"/>
      <c r="AC19" s="36"/>
      <c r="AD19" s="49"/>
      <c r="AE19" s="48">
        <f>(AD19/12*2*$E19*$G19*((1-$H19)+$H19*$L19*$I19))+(AD19/12*10*$F19*$G19*((1-$H19)+$H19*$L19*$I19))</f>
        <v>0</v>
      </c>
      <c r="AF19" s="49"/>
      <c r="AG19" s="48">
        <f>(AF19/12*2*$E19*$G19*((1-$H19)+$H19*$M19*$I19))+(AF19/12*10*$F19*$G19*((1-$H19)+$H19*$M19*$I19))</f>
        <v>0</v>
      </c>
      <c r="AH19" s="49"/>
      <c r="AI19" s="48">
        <f>(AH19/12*2*$E19*$G19*((1-$H19)+$H19*$M19*$I19))+(AH19/12*10*$F19*$G19*((1-$H19)+$H19*$M19*$I19))</f>
        <v>0</v>
      </c>
      <c r="AJ19" s="48">
        <v>0</v>
      </c>
      <c r="AK19" s="48">
        <v>0</v>
      </c>
      <c r="AL19" s="49"/>
      <c r="AM19" s="36"/>
      <c r="AN19" s="49"/>
      <c r="AO19" s="36"/>
      <c r="AP19" s="49"/>
      <c r="AQ19" s="36"/>
      <c r="AR19" s="49"/>
      <c r="AS19" s="36"/>
      <c r="AT19" s="49"/>
      <c r="AU19" s="36"/>
      <c r="AV19" s="50"/>
      <c r="AW19" s="48"/>
      <c r="AX19" s="49"/>
      <c r="AY19" s="48"/>
      <c r="AZ19" s="49"/>
      <c r="BA19" s="48"/>
      <c r="BB19" s="49"/>
      <c r="BC19" s="48"/>
      <c r="BD19" s="49"/>
      <c r="BE19" s="48">
        <f>(BD19/12*2*$E19*$G19*((1-$H19)+$H19*$L19*$I19*BE$9))+(BD19/12*10*$F19*$G19*((1-$H19)+$H19*$L19*$I19*BE$9))</f>
        <v>0</v>
      </c>
      <c r="BF19" s="49"/>
      <c r="BG19" s="48">
        <f>(BF19/12*2*$E19*$G19*((1-$H19)+$H19*$M19*$I19*BG$9))+(BF19/12*10*$F19*$G19*((1-$H19)+$H19*$M19*$I19*BG$9))</f>
        <v>0</v>
      </c>
      <c r="BH19" s="50"/>
      <c r="BI19" s="48">
        <f>(BH19/12*2*$E19*$G19*((1-$H19)+$H19*$M19*$I19*BI$9))+(BH19/12*10*$F19*$G19*((1-$H19)+$H19*$M19*$I19*BI$9))</f>
        <v>0</v>
      </c>
      <c r="BJ19" s="49"/>
      <c r="BK19" s="48">
        <f>(BJ19/12*2*$E19*$G19*((1-$H19)+$H19*$M19*$I19*BK$9))+(BJ19/12*10*$F19*$G19*((1-$H19)+$H19*$M19*$I19*BK$9))</f>
        <v>0</v>
      </c>
      <c r="BL19" s="49"/>
      <c r="BM19" s="48">
        <f>(BL19/12*2*$E19*$G19*((1-$H19)+$H19*$M19*$I19*BM$9))+(BL19/12*10*$F19*$G19*((1-$H19)+$H19*$M19*$I19*BM$9))</f>
        <v>0</v>
      </c>
      <c r="BN19" s="49"/>
      <c r="BO19" s="48">
        <f>(BN19/12*10*$F19*$G19*((1-$H19)+$H19*$M19*$I19*BO$9))</f>
        <v>0</v>
      </c>
      <c r="BP19" s="51"/>
      <c r="BQ19" s="48"/>
      <c r="BR19" s="49"/>
      <c r="BS19" s="48">
        <f>(BR19/12*10*$F19*$G19*((1-$H19)+$H19*$M19*$I19*BS$9))</f>
        <v>0</v>
      </c>
      <c r="BT19" s="49"/>
      <c r="BU19" s="48">
        <f>(BT19/12*2*$E19*$G19*((1-$H19)+$H19*$M19*$I19*BU$9))+(BT19/12*10*$F19*$G19*((1-$H19)+$H19*$M19*$I19*BU$9))</f>
        <v>0</v>
      </c>
      <c r="BV19" s="50"/>
      <c r="BW19" s="48">
        <f>(BV19/12*2*$E19*$G19*((1-$H19)+$H19*$M19*$I19*BW$9))+(BV19/12*10*$F19*$G19*((1-$H19)+$H19*$M19*$I19*BW$9))</f>
        <v>0</v>
      </c>
      <c r="BX19" s="49"/>
      <c r="BY19" s="48">
        <f>(BX19/12*2*$E19*$G19*((1-$H19)+$H19*$M19*$I19*BY$9))+(BX19/12*10*$F19*$G19*((1-$H19)+$H19*$M19*$I19*BY$9))</f>
        <v>0</v>
      </c>
      <c r="BZ19" s="49"/>
      <c r="CA19" s="48">
        <f>(BZ19/12*2*$E19*$G19*((1-$H19)+$H19*$M19*$I19*CA$9))+(BZ19/12*10*$F19*$G19*((1-$H19)+$H19*$M19*$I19*CA$9))</f>
        <v>0</v>
      </c>
      <c r="CB19" s="49"/>
      <c r="CC19" s="48">
        <f>(CB19/12*2*$E19*$G19*((1-$H19)+$H19*$M19*$I19*CC$9))+(CB19/12*10*$F19*$G19*((1-$H19)+$H19*$M19*$I19*CC$9))</f>
        <v>0</v>
      </c>
      <c r="CD19" s="49"/>
      <c r="CE19" s="48">
        <f>(CD19/12*2*$E19*$G19*((1-$H19)+$H19*$M19*$I19*CE$9))+(CD19/12*10*$F19*$G19*((1-$H19)+$H19*$M19*$I19*CE$9))</f>
        <v>0</v>
      </c>
      <c r="CF19" s="49"/>
      <c r="CG19" s="48">
        <f>(CF19/12*2*$E19*$G19*((1-$H19)+$H19*$N19*$I19*CG$9))+(CF19/12*10*$F19*$G19*((1-$H19)+$H19*$N19*$I19*CG$9))</f>
        <v>0</v>
      </c>
      <c r="CH19" s="49"/>
      <c r="CI19" s="48">
        <f>(CH19/12*2*$E19*$G19*((1-$H19)+$H19*$O19*$I19))+(CH19/12*10*$F19*$G19*((1-$H19)+$H19*$O19*$I19))</f>
        <v>0</v>
      </c>
      <c r="CJ19" s="36"/>
      <c r="CK19" s="36"/>
      <c r="CL19" s="36"/>
      <c r="CM19" s="36"/>
      <c r="CN19" s="41"/>
      <c r="CO19" s="41"/>
      <c r="CP19" s="42">
        <f t="shared" si="35"/>
        <v>60</v>
      </c>
      <c r="CQ19" s="42">
        <f t="shared" si="35"/>
        <v>6699142.1464000009</v>
      </c>
    </row>
    <row r="20" spans="1:95" s="52" customFormat="1" ht="30" hidden="1" customHeight="1" x14ac:dyDescent="0.25">
      <c r="A20" s="43"/>
      <c r="B20" s="26">
        <v>9</v>
      </c>
      <c r="C20" s="44" t="s">
        <v>117</v>
      </c>
      <c r="D20" s="64" t="s">
        <v>118</v>
      </c>
      <c r="E20" s="110">
        <v>16026</v>
      </c>
      <c r="F20" s="110">
        <v>16828</v>
      </c>
      <c r="G20" s="45">
        <v>9.84</v>
      </c>
      <c r="H20" s="46">
        <v>0.2102</v>
      </c>
      <c r="I20" s="47">
        <v>1.4</v>
      </c>
      <c r="J20" s="47">
        <v>1.3</v>
      </c>
      <c r="K20" s="114"/>
      <c r="L20" s="113">
        <v>1.4</v>
      </c>
      <c r="M20" s="113">
        <v>1.68</v>
      </c>
      <c r="N20" s="113">
        <v>2.23</v>
      </c>
      <c r="O20" s="113">
        <v>2.57</v>
      </c>
      <c r="P20" s="50"/>
      <c r="Q20" s="48">
        <f>(P20/12*2*$E20*$G20*((1-$H20)+$H20*$L20*$I20))+(P20/12*10*$F20*$G20*((1-$H20)+$H20*$L20*$I20))</f>
        <v>0</v>
      </c>
      <c r="R20" s="49"/>
      <c r="S20" s="48">
        <f>(R20/12*2*$E20*$G20*((1-$H20)+$H20*$L20*$I20))+(R20/12*10*$F20*$G20*((1-$H20)+$H20*$L20*$I20))</f>
        <v>0</v>
      </c>
      <c r="T20" s="50"/>
      <c r="U20" s="48">
        <f>(T20/12*2*$E20*$G20*((1-$H20)+$H20*$L20*$I20))+(T20/12*10*$F20*$G20*((1-$H20)+$H20*$L20*$I20))</f>
        <v>0</v>
      </c>
      <c r="V20" s="49"/>
      <c r="W20" s="48">
        <f>(V20/12*2*$E20*$G20*((1-$H20)+$H20*$L20*$I20))+(V20/12*10*$F20*$G20*((1-$H20)+$H20*$L20*$I20))</f>
        <v>0</v>
      </c>
      <c r="X20" s="36">
        <v>295</v>
      </c>
      <c r="Y20" s="48">
        <f>(X20/12*2*$E20*$G20*((1-$H20)+$H20*$L20*$I20))+(X20/12*10*$F20*$G20*((1-$H20)+$H20*$L20*$J20))</f>
        <v>57041290.242057592</v>
      </c>
      <c r="Z20" s="36"/>
      <c r="AA20" s="48">
        <f>(Z20/12*2*$E20*$G20*((1-$H20)+$H20*$L20*$I20))+(Z20/12*10*$F20*$G20*((1-$H20)+$H20*$L20*$J20))</f>
        <v>0</v>
      </c>
      <c r="AB20" s="49"/>
      <c r="AC20" s="36"/>
      <c r="AD20" s="49"/>
      <c r="AE20" s="48">
        <f>(AD20/12*2*$E20*$G20*((1-$H20)+$H20*$L20*$I20))+(AD20/12*10*$F20*$G20*((1-$H20)+$H20*$L20*$J20))</f>
        <v>0</v>
      </c>
      <c r="AF20" s="49"/>
      <c r="AG20" s="48">
        <f>(AF20/12*2*$E20*$G20*((1-$H20)+$H20*$M20*$I20))+(AF20/12*10*$F20*$G20*((1-$H20)+$H20*$M20*$J20))</f>
        <v>0</v>
      </c>
      <c r="AH20" s="49"/>
      <c r="AI20" s="48">
        <f>(AH20/12*2*$E20*$G20*((1-$H20)+$H20*$M20*$I20))+(AH20/12*10*$F20*$G20*((1-$H20)+$H20*$M20*$J20))</f>
        <v>0</v>
      </c>
      <c r="AJ20" s="48">
        <v>0</v>
      </c>
      <c r="AK20" s="48">
        <v>0</v>
      </c>
      <c r="AL20" s="49"/>
      <c r="AM20" s="36"/>
      <c r="AN20" s="49"/>
      <c r="AO20" s="36"/>
      <c r="AP20" s="49"/>
      <c r="AQ20" s="36"/>
      <c r="AR20" s="49"/>
      <c r="AS20" s="36"/>
      <c r="AT20" s="49"/>
      <c r="AU20" s="36"/>
      <c r="AV20" s="50"/>
      <c r="AW20" s="48"/>
      <c r="AX20" s="49"/>
      <c r="AY20" s="48"/>
      <c r="AZ20" s="49"/>
      <c r="BA20" s="48"/>
      <c r="BB20" s="49"/>
      <c r="BC20" s="48"/>
      <c r="BD20" s="49"/>
      <c r="BE20" s="48"/>
      <c r="BF20" s="49"/>
      <c r="BG20" s="48"/>
      <c r="BH20" s="50"/>
      <c r="BI20" s="48"/>
      <c r="BJ20" s="49"/>
      <c r="BK20" s="48"/>
      <c r="BL20" s="49"/>
      <c r="BM20" s="48"/>
      <c r="BN20" s="49"/>
      <c r="BO20" s="48"/>
      <c r="BP20" s="51"/>
      <c r="BQ20" s="48"/>
      <c r="BR20" s="49"/>
      <c r="BS20" s="48"/>
      <c r="BT20" s="49"/>
      <c r="BU20" s="48"/>
      <c r="BV20" s="50"/>
      <c r="BW20" s="48"/>
      <c r="BX20" s="49"/>
      <c r="BY20" s="48"/>
      <c r="BZ20" s="49"/>
      <c r="CA20" s="48"/>
      <c r="CB20" s="49"/>
      <c r="CC20" s="48"/>
      <c r="CD20" s="49"/>
      <c r="CE20" s="48"/>
      <c r="CF20" s="49"/>
      <c r="CG20" s="48"/>
      <c r="CH20" s="49"/>
      <c r="CI20" s="48"/>
      <c r="CJ20" s="36"/>
      <c r="CK20" s="36"/>
      <c r="CL20" s="36"/>
      <c r="CM20" s="36"/>
      <c r="CN20" s="41"/>
      <c r="CO20" s="41"/>
      <c r="CP20" s="42">
        <f t="shared" si="35"/>
        <v>295</v>
      </c>
      <c r="CQ20" s="42">
        <f t="shared" si="35"/>
        <v>57041290.242057592</v>
      </c>
    </row>
    <row r="21" spans="1:95" s="52" customFormat="1" ht="30" hidden="1" customHeight="1" x14ac:dyDescent="0.25">
      <c r="A21" s="43"/>
      <c r="B21" s="26">
        <v>10</v>
      </c>
      <c r="C21" s="44" t="s">
        <v>119</v>
      </c>
      <c r="D21" s="64" t="s">
        <v>120</v>
      </c>
      <c r="E21" s="110">
        <v>16026</v>
      </c>
      <c r="F21" s="110">
        <v>16828</v>
      </c>
      <c r="G21" s="45">
        <v>10.69</v>
      </c>
      <c r="H21" s="46">
        <v>0.2044</v>
      </c>
      <c r="I21" s="47">
        <v>1.4</v>
      </c>
      <c r="J21" s="47">
        <v>1.3</v>
      </c>
      <c r="K21" s="112"/>
      <c r="L21" s="113">
        <v>1.4</v>
      </c>
      <c r="M21" s="113">
        <v>1.68</v>
      </c>
      <c r="N21" s="113">
        <v>2.23</v>
      </c>
      <c r="O21" s="113">
        <v>2.57</v>
      </c>
      <c r="P21" s="50"/>
      <c r="Q21" s="48">
        <f>(P21/12*2*$E21*$G21*((1-$H21)+$H21*$L21*$I21))+(P21/12*10*$F21*$G21*((1-$H21)+$H21*$L21*$I21))</f>
        <v>0</v>
      </c>
      <c r="R21" s="49"/>
      <c r="S21" s="48">
        <f>(R21/12*2*$E21*$G21*((1-$H21)+$H21*$L21*$I21))+(R21/12*10*$F21*$G21*((1-$H21)+$H21*$L21*$I21))</f>
        <v>0</v>
      </c>
      <c r="T21" s="50"/>
      <c r="U21" s="48">
        <f>(T21/12*2*$E21*$G21*((1-$H21)+$H21*$L21*$I21))+(T21/12*10*$F21*$G21*((1-$H21)+$H21*$L21*$I21))</f>
        <v>0</v>
      </c>
      <c r="V21" s="49"/>
      <c r="W21" s="48">
        <f>(V21/12*2*$E21*$G21*((1-$H21)+$H21*$L21*$I21))+(V21/12*10*$F21*$G21*((1-$H21)+$H21*$L21*$I21))</f>
        <v>0</v>
      </c>
      <c r="X21" s="36">
        <v>275</v>
      </c>
      <c r="Y21" s="48">
        <f>(X21/12*2*$E21*$G21*((1-$H21)+$H21*$L21*$I21))+(X21/12*10*$F21*$G21*((1-$H21)+$H21*$L21*$J21))</f>
        <v>57527587.024937339</v>
      </c>
      <c r="Z21" s="36"/>
      <c r="AA21" s="48">
        <f>(Z21/12*2*$E21*$G21*((1-$H21)+$H21*$L21*$I21))+(Z21/12*10*$F21*$G21*((1-$H21)+$H21*$L21*$J21))</f>
        <v>0</v>
      </c>
      <c r="AB21" s="49"/>
      <c r="AC21" s="36"/>
      <c r="AD21" s="49"/>
      <c r="AE21" s="48">
        <f>(AD21/12*2*$E21*$G21*((1-$H21)+$H21*$L21*$I21))+(AD21/12*10*$F21*$G21*((1-$H21)+$H21*$L21*$J21))</f>
        <v>0</v>
      </c>
      <c r="AF21" s="49"/>
      <c r="AG21" s="48">
        <f>(AF21/12*2*$E21*$G21*((1-$H21)+$H21*$M21*$I21))+(AF21/12*10*$F21*$G21*((1-$H21)+$H21*$M21*$J21))</f>
        <v>0</v>
      </c>
      <c r="AH21" s="49"/>
      <c r="AI21" s="48">
        <f>(AH21/12*2*$E21*$G21*((1-$H21)+$H21*$M21*$I21))+(AH21/12*10*$F21*$G21*((1-$H21)+$H21*$M21*$J21))</f>
        <v>0</v>
      </c>
      <c r="AJ21" s="48">
        <v>0</v>
      </c>
      <c r="AK21" s="48">
        <v>0</v>
      </c>
      <c r="AL21" s="49"/>
      <c r="AM21" s="36"/>
      <c r="AN21" s="49"/>
      <c r="AO21" s="36"/>
      <c r="AP21" s="49"/>
      <c r="AQ21" s="36"/>
      <c r="AR21" s="49"/>
      <c r="AS21" s="36"/>
      <c r="AT21" s="49"/>
      <c r="AU21" s="36"/>
      <c r="AV21" s="50"/>
      <c r="AW21" s="48"/>
      <c r="AX21" s="49"/>
      <c r="AY21" s="48"/>
      <c r="AZ21" s="49"/>
      <c r="BA21" s="48"/>
      <c r="BB21" s="49"/>
      <c r="BC21" s="48"/>
      <c r="BD21" s="49"/>
      <c r="BE21" s="48"/>
      <c r="BF21" s="49"/>
      <c r="BG21" s="48"/>
      <c r="BH21" s="50"/>
      <c r="BI21" s="48"/>
      <c r="BJ21" s="49"/>
      <c r="BK21" s="48"/>
      <c r="BL21" s="49"/>
      <c r="BM21" s="48"/>
      <c r="BN21" s="49"/>
      <c r="BO21" s="48"/>
      <c r="BP21" s="51"/>
      <c r="BQ21" s="48"/>
      <c r="BR21" s="49"/>
      <c r="BS21" s="48"/>
      <c r="BT21" s="49"/>
      <c r="BU21" s="48"/>
      <c r="BV21" s="50"/>
      <c r="BW21" s="48"/>
      <c r="BX21" s="49"/>
      <c r="BY21" s="48"/>
      <c r="BZ21" s="49"/>
      <c r="CA21" s="48"/>
      <c r="CB21" s="49"/>
      <c r="CC21" s="48"/>
      <c r="CD21" s="49"/>
      <c r="CE21" s="48"/>
      <c r="CF21" s="49"/>
      <c r="CG21" s="48"/>
      <c r="CH21" s="49"/>
      <c r="CI21" s="48"/>
      <c r="CJ21" s="36"/>
      <c r="CK21" s="36"/>
      <c r="CL21" s="36"/>
      <c r="CM21" s="36"/>
      <c r="CN21" s="41"/>
      <c r="CO21" s="41"/>
      <c r="CP21" s="42">
        <f t="shared" si="35"/>
        <v>275</v>
      </c>
      <c r="CQ21" s="42">
        <f t="shared" si="35"/>
        <v>57527587.024937339</v>
      </c>
    </row>
    <row r="22" spans="1:95" s="53" customFormat="1" ht="18.75" hidden="1" customHeight="1" x14ac:dyDescent="0.25">
      <c r="A22" s="132">
        <v>3</v>
      </c>
      <c r="B22" s="132"/>
      <c r="C22" s="125" t="s">
        <v>121</v>
      </c>
      <c r="D22" s="133" t="s">
        <v>122</v>
      </c>
      <c r="E22" s="110">
        <v>16026</v>
      </c>
      <c r="F22" s="134">
        <v>16828</v>
      </c>
      <c r="G22" s="135">
        <v>0.98</v>
      </c>
      <c r="H22" s="136"/>
      <c r="I22" s="128"/>
      <c r="J22" s="129"/>
      <c r="K22" s="29"/>
      <c r="L22" s="97">
        <v>1.4</v>
      </c>
      <c r="M22" s="97">
        <v>1.68</v>
      </c>
      <c r="N22" s="97">
        <v>2.23</v>
      </c>
      <c r="O22" s="97">
        <v>2.57</v>
      </c>
      <c r="P22" s="130">
        <f>P23</f>
        <v>0</v>
      </c>
      <c r="Q22" s="137">
        <f t="shared" ref="Q22:CB22" si="36">Q23</f>
        <v>0</v>
      </c>
      <c r="R22" s="137">
        <f t="shared" si="36"/>
        <v>0</v>
      </c>
      <c r="S22" s="137">
        <f t="shared" si="36"/>
        <v>0</v>
      </c>
      <c r="T22" s="130">
        <f t="shared" si="36"/>
        <v>0</v>
      </c>
      <c r="U22" s="137">
        <f t="shared" si="36"/>
        <v>0</v>
      </c>
      <c r="V22" s="137">
        <f t="shared" si="36"/>
        <v>0</v>
      </c>
      <c r="W22" s="137">
        <f t="shared" si="36"/>
        <v>0</v>
      </c>
      <c r="X22" s="137">
        <f t="shared" si="36"/>
        <v>0</v>
      </c>
      <c r="Y22" s="137">
        <f t="shared" si="36"/>
        <v>0</v>
      </c>
      <c r="Z22" s="137">
        <f t="shared" si="36"/>
        <v>0</v>
      </c>
      <c r="AA22" s="137">
        <f t="shared" si="36"/>
        <v>0</v>
      </c>
      <c r="AB22" s="137">
        <f t="shared" si="36"/>
        <v>0</v>
      </c>
      <c r="AC22" s="137">
        <f t="shared" si="36"/>
        <v>0</v>
      </c>
      <c r="AD22" s="137">
        <f t="shared" si="36"/>
        <v>0</v>
      </c>
      <c r="AE22" s="137">
        <f t="shared" si="36"/>
        <v>0</v>
      </c>
      <c r="AF22" s="137">
        <f t="shared" si="36"/>
        <v>0</v>
      </c>
      <c r="AG22" s="137">
        <f t="shared" si="36"/>
        <v>0</v>
      </c>
      <c r="AH22" s="137">
        <f>AH23</f>
        <v>1</v>
      </c>
      <c r="AI22" s="137">
        <f t="shared" si="36"/>
        <v>27485.550399999996</v>
      </c>
      <c r="AJ22" s="137">
        <v>2</v>
      </c>
      <c r="AK22" s="137">
        <v>55411.24</v>
      </c>
      <c r="AL22" s="137">
        <f t="shared" si="36"/>
        <v>0</v>
      </c>
      <c r="AM22" s="137">
        <f t="shared" si="36"/>
        <v>0</v>
      </c>
      <c r="AN22" s="137">
        <f t="shared" si="36"/>
        <v>0</v>
      </c>
      <c r="AO22" s="137">
        <f t="shared" si="36"/>
        <v>0</v>
      </c>
      <c r="AP22" s="137">
        <f t="shared" si="36"/>
        <v>0</v>
      </c>
      <c r="AQ22" s="137">
        <f t="shared" si="36"/>
        <v>0</v>
      </c>
      <c r="AR22" s="137">
        <f t="shared" si="36"/>
        <v>0</v>
      </c>
      <c r="AS22" s="137">
        <f t="shared" si="36"/>
        <v>0</v>
      </c>
      <c r="AT22" s="137">
        <f t="shared" si="36"/>
        <v>0</v>
      </c>
      <c r="AU22" s="137">
        <f t="shared" si="36"/>
        <v>0</v>
      </c>
      <c r="AV22" s="137">
        <f t="shared" si="36"/>
        <v>0</v>
      </c>
      <c r="AW22" s="137">
        <f t="shared" si="36"/>
        <v>0</v>
      </c>
      <c r="AX22" s="137">
        <f t="shared" si="36"/>
        <v>0</v>
      </c>
      <c r="AY22" s="137">
        <f t="shared" si="36"/>
        <v>0</v>
      </c>
      <c r="AZ22" s="137">
        <f t="shared" si="36"/>
        <v>0</v>
      </c>
      <c r="BA22" s="137">
        <f t="shared" si="36"/>
        <v>0</v>
      </c>
      <c r="BB22" s="137">
        <f t="shared" si="36"/>
        <v>0</v>
      </c>
      <c r="BC22" s="137">
        <f t="shared" si="36"/>
        <v>0</v>
      </c>
      <c r="BD22" s="137">
        <f t="shared" si="36"/>
        <v>5</v>
      </c>
      <c r="BE22" s="137">
        <f t="shared" si="36"/>
        <v>114523.12666666668</v>
      </c>
      <c r="BF22" s="137">
        <f t="shared" si="36"/>
        <v>2</v>
      </c>
      <c r="BG22" s="137">
        <f t="shared" si="36"/>
        <v>54971.100799999993</v>
      </c>
      <c r="BH22" s="137">
        <f t="shared" si="36"/>
        <v>0</v>
      </c>
      <c r="BI22" s="137">
        <f t="shared" si="36"/>
        <v>0</v>
      </c>
      <c r="BJ22" s="137">
        <f t="shared" si="36"/>
        <v>0</v>
      </c>
      <c r="BK22" s="137">
        <f t="shared" si="36"/>
        <v>0</v>
      </c>
      <c r="BL22" s="137">
        <f t="shared" si="36"/>
        <v>26</v>
      </c>
      <c r="BM22" s="137">
        <f t="shared" si="36"/>
        <v>714624.31039999984</v>
      </c>
      <c r="BN22" s="137">
        <f t="shared" si="36"/>
        <v>0</v>
      </c>
      <c r="BO22" s="137">
        <f t="shared" si="36"/>
        <v>0</v>
      </c>
      <c r="BP22" s="137">
        <f t="shared" si="36"/>
        <v>0</v>
      </c>
      <c r="BQ22" s="137">
        <f t="shared" si="36"/>
        <v>0</v>
      </c>
      <c r="BR22" s="137">
        <f t="shared" si="36"/>
        <v>0</v>
      </c>
      <c r="BS22" s="137">
        <f t="shared" si="36"/>
        <v>0</v>
      </c>
      <c r="BT22" s="137">
        <f t="shared" si="36"/>
        <v>0</v>
      </c>
      <c r="BU22" s="137">
        <f t="shared" si="36"/>
        <v>0</v>
      </c>
      <c r="BV22" s="137">
        <f t="shared" si="36"/>
        <v>3</v>
      </c>
      <c r="BW22" s="137">
        <f t="shared" si="36"/>
        <v>82456.651199999993</v>
      </c>
      <c r="BX22" s="137">
        <f t="shared" si="36"/>
        <v>0</v>
      </c>
      <c r="BY22" s="137">
        <f t="shared" si="36"/>
        <v>0</v>
      </c>
      <c r="BZ22" s="137">
        <f t="shared" si="36"/>
        <v>0</v>
      </c>
      <c r="CA22" s="137">
        <f t="shared" si="36"/>
        <v>0</v>
      </c>
      <c r="CB22" s="137">
        <f t="shared" si="36"/>
        <v>0</v>
      </c>
      <c r="CC22" s="137">
        <f t="shared" ref="CC22:CQ22" si="37">CC23</f>
        <v>0</v>
      </c>
      <c r="CD22" s="137">
        <f t="shared" si="37"/>
        <v>0</v>
      </c>
      <c r="CE22" s="137">
        <f t="shared" si="37"/>
        <v>0</v>
      </c>
      <c r="CF22" s="137">
        <f t="shared" si="37"/>
        <v>0</v>
      </c>
      <c r="CG22" s="137">
        <f t="shared" si="37"/>
        <v>0</v>
      </c>
      <c r="CH22" s="137">
        <f t="shared" si="37"/>
        <v>0</v>
      </c>
      <c r="CI22" s="137">
        <f t="shared" si="37"/>
        <v>0</v>
      </c>
      <c r="CJ22" s="137">
        <f t="shared" si="37"/>
        <v>0</v>
      </c>
      <c r="CK22" s="137">
        <f t="shared" si="37"/>
        <v>0</v>
      </c>
      <c r="CL22" s="137">
        <f t="shared" si="37"/>
        <v>0</v>
      </c>
      <c r="CM22" s="137">
        <f t="shared" si="37"/>
        <v>0</v>
      </c>
      <c r="CN22" s="137">
        <f t="shared" si="37"/>
        <v>0</v>
      </c>
      <c r="CO22" s="137">
        <f t="shared" si="37"/>
        <v>0</v>
      </c>
      <c r="CP22" s="137">
        <f t="shared" si="37"/>
        <v>39</v>
      </c>
      <c r="CQ22" s="137">
        <f t="shared" si="37"/>
        <v>1049471.9794666665</v>
      </c>
    </row>
    <row r="23" spans="1:95" s="3" customFormat="1" ht="30" hidden="1" customHeight="1" x14ac:dyDescent="0.25">
      <c r="A23" s="54"/>
      <c r="B23" s="54">
        <v>11</v>
      </c>
      <c r="C23" s="55" t="s">
        <v>123</v>
      </c>
      <c r="D23" s="64" t="s">
        <v>124</v>
      </c>
      <c r="E23" s="110">
        <v>16026</v>
      </c>
      <c r="F23" s="110">
        <v>16828</v>
      </c>
      <c r="G23" s="33">
        <v>0.98</v>
      </c>
      <c r="H23" s="34"/>
      <c r="I23" s="35">
        <v>1</v>
      </c>
      <c r="J23" s="111"/>
      <c r="K23" s="35"/>
      <c r="L23" s="97">
        <v>1.4</v>
      </c>
      <c r="M23" s="97">
        <v>1.68</v>
      </c>
      <c r="N23" s="97">
        <v>2.23</v>
      </c>
      <c r="O23" s="97">
        <v>2.57</v>
      </c>
      <c r="P23" s="36"/>
      <c r="Q23" s="36">
        <f>SUM(P23/12*2*$E23*$G23*$I23*$L23*$Q$9)+(P23/12*10*$F23*$G23*$I23*$L23*$Q$9)</f>
        <v>0</v>
      </c>
      <c r="R23" s="37"/>
      <c r="S23" s="36">
        <f>SUM(R23/12*2*$E23*$G23*$I23*$L23*S$9)+(R23/12*10*$F23*$G23*$I23*$L23*S$9)</f>
        <v>0</v>
      </c>
      <c r="T23" s="36"/>
      <c r="U23" s="36">
        <f>SUM(T23/12*2*$E23*$G23*$I23*$L23*U$9)+(T23/12*10*$F23*$G23*$I23*$L23*U$9)</f>
        <v>0</v>
      </c>
      <c r="V23" s="37"/>
      <c r="W23" s="36">
        <f>SUM(V23/12*2*$E23*$G23*$I23*$L23*$W$9)+(V23/12*10*$F23*$G23*$I23*$L23*$W$9)</f>
        <v>0</v>
      </c>
      <c r="X23" s="37"/>
      <c r="Y23" s="38">
        <f>SUM(X23/12*2*$E23*$G23*$I23*$L23*Y$9)+(X23/12*10*$F23*$G23*$I23*$L23*Y$9)</f>
        <v>0</v>
      </c>
      <c r="Z23" s="37"/>
      <c r="AA23" s="38"/>
      <c r="AB23" s="37">
        <v>0</v>
      </c>
      <c r="AC23" s="36">
        <f>(AB23/12*2*$E23*$G23*$I23*$L23)+(AB23/12*10*$F23*$G23*$I23*$L23)</f>
        <v>0</v>
      </c>
      <c r="AD23" s="37">
        <v>0</v>
      </c>
      <c r="AE23" s="36">
        <f>(AD23/12*2*$E23*$G23*$I23*$L23*AE$9)+(AD23/12*10*$F23*$G23*$I23*$L23*AE$9)</f>
        <v>0</v>
      </c>
      <c r="AF23" s="37">
        <v>0</v>
      </c>
      <c r="AG23" s="36">
        <f>(AF23/12*2*$E23*$G23*$I23*$M23*AG$9)+(AF23/12*10*$F23*$G23*$I23*$M23*AG$9)</f>
        <v>0</v>
      </c>
      <c r="AH23" s="36">
        <v>1</v>
      </c>
      <c r="AI23" s="36">
        <f>(AH23/12*2*$E23*$G23*$I23*$M23*$AI$9)+(AH23/12*10*$F23*$G23*$I23*$M23*$AI$9)</f>
        <v>27485.550399999996</v>
      </c>
      <c r="AJ23" s="36">
        <v>2</v>
      </c>
      <c r="AK23" s="36">
        <v>55411.24</v>
      </c>
      <c r="AL23" s="37"/>
      <c r="AM23" s="36">
        <f>SUM(AL23/12*2*$E23*$G23*$I23*$L23*AM$9)+(AL23/12*10*$F23*$G23*$I23*$L23*AM$9)</f>
        <v>0</v>
      </c>
      <c r="AN23" s="37"/>
      <c r="AO23" s="36">
        <f>SUM(AN23/12*2*$E23*$G23*$I23*$L23*$AE$9)+(AN23/12*10*$F23*$G23*$I23*$L23*$AE$9)</f>
        <v>0</v>
      </c>
      <c r="AP23" s="37"/>
      <c r="AQ23" s="36"/>
      <c r="AR23" s="37"/>
      <c r="AS23" s="36">
        <f>SUM(AR23/12*2*$E23*$G23*$I23*$L23*AS$9)+(AR23/12*10*$F23*$G23*$I23*$L23*AS$9)</f>
        <v>0</v>
      </c>
      <c r="AT23" s="37"/>
      <c r="AU23" s="36">
        <f>SUM(AT23/12*2*$E23*$G23*$I23*$L23*$AI$9)+(AT23/12*10*$F23*$G23*$I23*$L23*$AI$9)</f>
        <v>0</v>
      </c>
      <c r="AV23" s="37"/>
      <c r="AW23" s="36">
        <f>SUM(AV23/12*2*$E23*$G23*$I23*$L23*AW$9)+(AV23/12*10*$F23*$G23*$I23*$L23*AW$9)</f>
        <v>0</v>
      </c>
      <c r="AX23" s="37"/>
      <c r="AY23" s="36">
        <f>SUM(AX23/12*2*$E23*$G23*$I23*$L23*AY$9)+(AX23/12*10*$F23*$G23*$I23*$L23*AY$9)</f>
        <v>0</v>
      </c>
      <c r="AZ23" s="37"/>
      <c r="BA23" s="36">
        <f>SUM(AZ23/12*2*$E23*$G23*$I23*$L23*BA$9)+(AZ23/12*10*$F23*$G23*$I23*$L23*BA$9)</f>
        <v>0</v>
      </c>
      <c r="BB23" s="37"/>
      <c r="BC23" s="36">
        <f>SUM(BB23/12*2*$E23*$G23*$I23*$L23*BC$9)+(BB23/12*10*$F23*$G23*$I23*$L23*BC$9)</f>
        <v>0</v>
      </c>
      <c r="BD23" s="36">
        <v>5</v>
      </c>
      <c r="BE23" s="36">
        <f>SUM(BD23/12*2*$E23*$G23*$I23*$L23*BE$9)+(BD23/12*10*$F23*$G23*$I23*$L23*BE$9)</f>
        <v>114523.12666666668</v>
      </c>
      <c r="BF23" s="39">
        <v>2</v>
      </c>
      <c r="BG23" s="39">
        <f>(BF23/12*2*$E23*$G23*$I23*$M23*BG$9)+(BF23/12*10*$F23*$G23*$I23*$M23*BG$9)</f>
        <v>54971.100799999993</v>
      </c>
      <c r="BH23" s="37"/>
      <c r="BI23" s="36">
        <f>(BH23/12*2*$E23*$G23*$I23*$M23*BI$9)+(BH23/12*10*$F23*$G23*$I23*$M23*BI$9)</f>
        <v>0</v>
      </c>
      <c r="BJ23" s="37"/>
      <c r="BK23" s="36">
        <f>(BJ23/12*2*$E23*$G23*$I23*$M23*BK$9)+(BJ23/12*10*$F23*$G23*$I23*$M23*BK$9)</f>
        <v>0</v>
      </c>
      <c r="BL23" s="36">
        <v>26</v>
      </c>
      <c r="BM23" s="36">
        <f>(BL23/12*2*$E23*$G23*$I23*$M23*BM$9)+(BL23/12*10*$F23*$G23*$I23*$M23*BM$9)</f>
        <v>714624.31039999984</v>
      </c>
      <c r="BN23" s="36"/>
      <c r="BO23" s="36">
        <f>(BN23/12*10*$F23*$G23*$I23*$M23*BO$9)</f>
        <v>0</v>
      </c>
      <c r="BP23" s="39"/>
      <c r="BQ23" s="36"/>
      <c r="BR23" s="40"/>
      <c r="BS23" s="36">
        <f>(BR23/12*10*$F23*$G23*$I23*$M23*BS$9)</f>
        <v>0</v>
      </c>
      <c r="BT23" s="37"/>
      <c r="BU23" s="36">
        <f>(BT23/12*2*$E23*$G23*$I23*$M23*BU$9)+(BT23/12*10*$F23*$G23*$I23*$M23*BU$9)</f>
        <v>0</v>
      </c>
      <c r="BV23" s="36">
        <v>3</v>
      </c>
      <c r="BW23" s="36">
        <f>(BV23/12*2*$E23*$G23*$I23*$M23*BW$9)+(BV23/12*10*$F23*$G23*$I23*$M23*BW$9)</f>
        <v>82456.651199999993</v>
      </c>
      <c r="BX23" s="37"/>
      <c r="BY23" s="36">
        <f>(BX23/12*2*$E23*$G23*$I23*$M23*BY$9)+(BX23/12*10*$F23*$G23*$I23*$M23*BY$9)</f>
        <v>0</v>
      </c>
      <c r="BZ23" s="37"/>
      <c r="CA23" s="36">
        <f>(BZ23/12*2*$E23*$G23*$I23*$M23*CA$9)+(BZ23/12*10*$F23*$G23*$I23*$M23*CA$9)</f>
        <v>0</v>
      </c>
      <c r="CB23" s="37"/>
      <c r="CC23" s="36">
        <f>(CB23/12*2*$E23*$G23*$I23*$M23*CC$9)+(CB23/12*10*$F23*$G23*$I23*$M23*CC$9)</f>
        <v>0</v>
      </c>
      <c r="CD23" s="37"/>
      <c r="CE23" s="36">
        <f>(CD23/12*2*$E23*$G23*$I23*$M23*CE$9)+(CD23/12*10*$F23*$G23*$I23*$M23*CE$9)</f>
        <v>0</v>
      </c>
      <c r="CF23" s="37"/>
      <c r="CG23" s="36">
        <f>(CF23/12*2*$E23*$G23*$I23*$N23*CG$9)+(CF23/12*10*$F23*$G23*$I23*$N23*CG$9)</f>
        <v>0</v>
      </c>
      <c r="CH23" s="37"/>
      <c r="CI23" s="36">
        <f>(CH23/12*2*$E23*$G23*$I23*$O23*$CI$9)+(CH23/12*10*$F23*$G23*$I23*$O23*$CI$9)</f>
        <v>0</v>
      </c>
      <c r="CJ23" s="36"/>
      <c r="CK23" s="36"/>
      <c r="CL23" s="36"/>
      <c r="CM23" s="36"/>
      <c r="CN23" s="41"/>
      <c r="CO23" s="41"/>
      <c r="CP23" s="42">
        <f>SUM(R23+P23+T23+V23+AB23+Z23+X23+AF23+AD23+AH23+AJ23+BF23+BJ23+AL23+AT23+AV23+BT23+BV23+BR23+BX23+BZ23+BN23+AN23+AP23+AR23+BH23+BL23+AX23+AZ23+BB23+BD23+BP23+CB23+CD23+CF23+CH23+CJ23+CL23)</f>
        <v>39</v>
      </c>
      <c r="CQ23" s="42">
        <f>SUM(S23+Q23+U23+W23+AC23+AA23+Y23+AG23+AE23+AI23+AK23+BG23+BK23+AM23+AU23+AW23+BU23+BW23+BS23+BY23+CA23+BO23+AO23+AQ23+AS23+BI23+BM23+AY23+BA23+BC23+BE23+BQ23+CC23+CE23+CG23+CI23+CK23+CM23)</f>
        <v>1049471.9794666665</v>
      </c>
    </row>
    <row r="24" spans="1:95" s="53" customFormat="1" ht="18.75" hidden="1" customHeight="1" x14ac:dyDescent="0.25">
      <c r="A24" s="132">
        <v>4</v>
      </c>
      <c r="B24" s="132"/>
      <c r="C24" s="125" t="s">
        <v>125</v>
      </c>
      <c r="D24" s="133" t="s">
        <v>126</v>
      </c>
      <c r="E24" s="110">
        <v>16026</v>
      </c>
      <c r="F24" s="134">
        <v>16828</v>
      </c>
      <c r="G24" s="135">
        <v>0.89</v>
      </c>
      <c r="H24" s="136"/>
      <c r="I24" s="128"/>
      <c r="J24" s="129"/>
      <c r="K24" s="29"/>
      <c r="L24" s="97">
        <v>1.4</v>
      </c>
      <c r="M24" s="97">
        <v>1.68</v>
      </c>
      <c r="N24" s="97">
        <v>2.23</v>
      </c>
      <c r="O24" s="97">
        <v>2.57</v>
      </c>
      <c r="P24" s="130">
        <f>P25</f>
        <v>46</v>
      </c>
      <c r="Q24" s="130">
        <f t="shared" ref="Q24:CB24" si="38">Q25</f>
        <v>956852.40933333337</v>
      </c>
      <c r="R24" s="130">
        <f t="shared" si="38"/>
        <v>0</v>
      </c>
      <c r="S24" s="130">
        <f t="shared" si="38"/>
        <v>0</v>
      </c>
      <c r="T24" s="130">
        <f t="shared" si="38"/>
        <v>0</v>
      </c>
      <c r="U24" s="130">
        <f t="shared" si="38"/>
        <v>0</v>
      </c>
      <c r="V24" s="130">
        <f t="shared" si="38"/>
        <v>0</v>
      </c>
      <c r="W24" s="130">
        <f t="shared" si="38"/>
        <v>0</v>
      </c>
      <c r="X24" s="130">
        <f t="shared" si="38"/>
        <v>0</v>
      </c>
      <c r="Y24" s="130">
        <f t="shared" si="38"/>
        <v>0</v>
      </c>
      <c r="Z24" s="130">
        <f t="shared" si="38"/>
        <v>0</v>
      </c>
      <c r="AA24" s="130">
        <f t="shared" si="38"/>
        <v>0</v>
      </c>
      <c r="AB24" s="130">
        <f t="shared" si="38"/>
        <v>70</v>
      </c>
      <c r="AC24" s="130">
        <f t="shared" si="38"/>
        <v>1456079.7533333332</v>
      </c>
      <c r="AD24" s="130">
        <f t="shared" si="38"/>
        <v>18</v>
      </c>
      <c r="AE24" s="130">
        <f t="shared" si="38"/>
        <v>374420.50800000003</v>
      </c>
      <c r="AF24" s="130">
        <f t="shared" si="38"/>
        <v>0</v>
      </c>
      <c r="AG24" s="130">
        <f t="shared" si="38"/>
        <v>0</v>
      </c>
      <c r="AH24" s="130">
        <f>AH25</f>
        <v>21</v>
      </c>
      <c r="AI24" s="130">
        <f t="shared" si="38"/>
        <v>524188.71119999996</v>
      </c>
      <c r="AJ24" s="130">
        <v>17</v>
      </c>
      <c r="AK24" s="130">
        <v>426541.75999999989</v>
      </c>
      <c r="AL24" s="130">
        <f t="shared" si="38"/>
        <v>0</v>
      </c>
      <c r="AM24" s="130">
        <f t="shared" si="38"/>
        <v>0</v>
      </c>
      <c r="AN24" s="130">
        <f t="shared" si="38"/>
        <v>0</v>
      </c>
      <c r="AO24" s="130">
        <f t="shared" si="38"/>
        <v>0</v>
      </c>
      <c r="AP24" s="130">
        <f t="shared" si="38"/>
        <v>0</v>
      </c>
      <c r="AQ24" s="130">
        <f t="shared" si="38"/>
        <v>0</v>
      </c>
      <c r="AR24" s="130">
        <f t="shared" si="38"/>
        <v>0</v>
      </c>
      <c r="AS24" s="130">
        <f t="shared" si="38"/>
        <v>0</v>
      </c>
      <c r="AT24" s="130">
        <f t="shared" si="38"/>
        <v>0</v>
      </c>
      <c r="AU24" s="130">
        <f t="shared" si="38"/>
        <v>0</v>
      </c>
      <c r="AV24" s="130">
        <f t="shared" si="38"/>
        <v>10</v>
      </c>
      <c r="AW24" s="130">
        <f t="shared" si="38"/>
        <v>208011.39333333334</v>
      </c>
      <c r="AX24" s="130">
        <f t="shared" si="38"/>
        <v>0</v>
      </c>
      <c r="AY24" s="130">
        <f t="shared" si="38"/>
        <v>0</v>
      </c>
      <c r="AZ24" s="130">
        <f t="shared" si="38"/>
        <v>0</v>
      </c>
      <c r="BA24" s="130">
        <f t="shared" si="38"/>
        <v>0</v>
      </c>
      <c r="BB24" s="130">
        <f t="shared" si="38"/>
        <v>0</v>
      </c>
      <c r="BC24" s="130">
        <f t="shared" si="38"/>
        <v>0</v>
      </c>
      <c r="BD24" s="130">
        <f t="shared" si="38"/>
        <v>60</v>
      </c>
      <c r="BE24" s="130">
        <f t="shared" si="38"/>
        <v>1248068.3599999999</v>
      </c>
      <c r="BF24" s="130">
        <f t="shared" si="38"/>
        <v>50</v>
      </c>
      <c r="BG24" s="130">
        <f t="shared" si="38"/>
        <v>1248068.3600000001</v>
      </c>
      <c r="BH24" s="130">
        <f t="shared" si="38"/>
        <v>0</v>
      </c>
      <c r="BI24" s="130">
        <f t="shared" si="38"/>
        <v>0</v>
      </c>
      <c r="BJ24" s="130">
        <f t="shared" si="38"/>
        <v>33</v>
      </c>
      <c r="BK24" s="130">
        <f t="shared" si="38"/>
        <v>823725.11759999988</v>
      </c>
      <c r="BL24" s="130">
        <f t="shared" si="38"/>
        <v>0</v>
      </c>
      <c r="BM24" s="130">
        <f t="shared" si="38"/>
        <v>0</v>
      </c>
      <c r="BN24" s="130">
        <f t="shared" si="38"/>
        <v>0</v>
      </c>
      <c r="BO24" s="130">
        <f t="shared" si="38"/>
        <v>0</v>
      </c>
      <c r="BP24" s="130">
        <f t="shared" si="38"/>
        <v>0</v>
      </c>
      <c r="BQ24" s="130">
        <f t="shared" si="38"/>
        <v>0</v>
      </c>
      <c r="BR24" s="130">
        <f t="shared" si="38"/>
        <v>0</v>
      </c>
      <c r="BS24" s="130">
        <f t="shared" si="38"/>
        <v>0</v>
      </c>
      <c r="BT24" s="130">
        <f t="shared" si="38"/>
        <v>0</v>
      </c>
      <c r="BU24" s="130">
        <f t="shared" si="38"/>
        <v>0</v>
      </c>
      <c r="BV24" s="130">
        <f t="shared" si="38"/>
        <v>2</v>
      </c>
      <c r="BW24" s="130">
        <f t="shared" si="38"/>
        <v>49922.734399999994</v>
      </c>
      <c r="BX24" s="130">
        <f t="shared" si="38"/>
        <v>11</v>
      </c>
      <c r="BY24" s="130">
        <f t="shared" si="38"/>
        <v>274575.0392</v>
      </c>
      <c r="BZ24" s="130">
        <f t="shared" si="38"/>
        <v>4</v>
      </c>
      <c r="CA24" s="130">
        <f t="shared" si="38"/>
        <v>99845.468799999988</v>
      </c>
      <c r="CB24" s="130">
        <f t="shared" si="38"/>
        <v>30</v>
      </c>
      <c r="CC24" s="130">
        <f t="shared" ref="CC24:CQ24" si="39">CC25</f>
        <v>50322.46</v>
      </c>
      <c r="CD24" s="130">
        <f t="shared" si="39"/>
        <v>5</v>
      </c>
      <c r="CE24" s="130">
        <f t="shared" si="39"/>
        <v>124806.83600000001</v>
      </c>
      <c r="CF24" s="130">
        <f t="shared" si="39"/>
        <v>60</v>
      </c>
      <c r="CG24" s="130">
        <f t="shared" si="39"/>
        <v>1987994.602</v>
      </c>
      <c r="CH24" s="130">
        <f t="shared" si="39"/>
        <v>25</v>
      </c>
      <c r="CI24" s="130">
        <f t="shared" si="39"/>
        <v>954623.71583333332</v>
      </c>
      <c r="CJ24" s="130">
        <f t="shared" si="39"/>
        <v>0</v>
      </c>
      <c r="CK24" s="130">
        <f t="shared" si="39"/>
        <v>0</v>
      </c>
      <c r="CL24" s="130">
        <f t="shared" si="39"/>
        <v>0</v>
      </c>
      <c r="CM24" s="130">
        <f t="shared" si="39"/>
        <v>0</v>
      </c>
      <c r="CN24" s="130">
        <f t="shared" si="39"/>
        <v>0</v>
      </c>
      <c r="CO24" s="130">
        <f t="shared" si="39"/>
        <v>0</v>
      </c>
      <c r="CP24" s="130">
        <f t="shared" si="39"/>
        <v>462</v>
      </c>
      <c r="CQ24" s="130">
        <f t="shared" si="39"/>
        <v>10808047.229033332</v>
      </c>
    </row>
    <row r="25" spans="1:95" s="4" customFormat="1" ht="22.5" hidden="1" customHeight="1" x14ac:dyDescent="0.25">
      <c r="A25" s="56"/>
      <c r="B25" s="56">
        <v>12</v>
      </c>
      <c r="C25" s="55" t="s">
        <v>127</v>
      </c>
      <c r="D25" s="109" t="s">
        <v>128</v>
      </c>
      <c r="E25" s="110">
        <v>16026</v>
      </c>
      <c r="F25" s="110">
        <v>16828</v>
      </c>
      <c r="G25" s="97">
        <v>0.89</v>
      </c>
      <c r="H25" s="34"/>
      <c r="I25" s="57">
        <v>1</v>
      </c>
      <c r="J25" s="115"/>
      <c r="K25" s="57"/>
      <c r="L25" s="97">
        <v>1.4</v>
      </c>
      <c r="M25" s="97">
        <v>1.68</v>
      </c>
      <c r="N25" s="97">
        <v>2.23</v>
      </c>
      <c r="O25" s="97">
        <v>2.57</v>
      </c>
      <c r="P25" s="36">
        <v>46</v>
      </c>
      <c r="Q25" s="36">
        <f>SUM(P25/12*2*$E25*$G25*$I25*$L25*$Q$9)+(P25/12*10*$F25*$G25*$I25*$L25*$Q$9)</f>
        <v>956852.40933333337</v>
      </c>
      <c r="R25" s="37"/>
      <c r="S25" s="36">
        <f>SUM(R25/12*2*$E25*$G25*$I25*$L25*S$9)+(R25/12*10*$F25*$G25*$I25*$L25*S$9)</f>
        <v>0</v>
      </c>
      <c r="T25" s="36"/>
      <c r="U25" s="36">
        <f>SUM(T25/12*2*$E25*$G25*$I25*$L25*U$9)+(T25/12*10*$F25*$G25*$I25*$L25*U$9)</f>
        <v>0</v>
      </c>
      <c r="V25" s="37"/>
      <c r="W25" s="36">
        <f>SUM(V25/12*2*$E25*$G25*$I25*$L25*$W$9)+(V25/12*10*$F25*$G25*$I25*$L25*$W$9)</f>
        <v>0</v>
      </c>
      <c r="X25" s="37"/>
      <c r="Y25" s="38">
        <f>SUM(X25/12*2*$E25*$G25*$I25*$L25*Y$9)+(X25/12*10*$F25*$G25*$I25*$L25*Y$9)</f>
        <v>0</v>
      </c>
      <c r="Z25" s="37"/>
      <c r="AA25" s="36"/>
      <c r="AB25" s="36">
        <v>70</v>
      </c>
      <c r="AC25" s="36">
        <f>(AB25/12*2*$E25*$G25*$I25*$L25)+(AB25/12*10*$F25*$G25*$I25*$L25)</f>
        <v>1456079.7533333332</v>
      </c>
      <c r="AD25" s="39">
        <v>18</v>
      </c>
      <c r="AE25" s="36">
        <f>(AD25/12*2*$E25*$G25*$I25*$L25*AE$9)+(AD25/12*10*$F25*$G25*$I25*$L25*AE$9)</f>
        <v>374420.50800000003</v>
      </c>
      <c r="AF25" s="37">
        <v>0</v>
      </c>
      <c r="AG25" s="36">
        <f>(AF25/12*2*$E25*$G25*$I25*$M25*AG$9)+(AF25/12*10*$F25*$G25*$I25*$M25*AG$9)</f>
        <v>0</v>
      </c>
      <c r="AH25" s="36">
        <f>38-17</f>
        <v>21</v>
      </c>
      <c r="AI25" s="36">
        <f>(AH25/12*2*$E25*$G25*$I25*$M25*$AI$9)+(AH25/12*10*$F25*$G25*$I25*$M25*$AI$9)</f>
        <v>524188.71119999996</v>
      </c>
      <c r="AJ25" s="36">
        <v>17</v>
      </c>
      <c r="AK25" s="36">
        <v>426541.75999999989</v>
      </c>
      <c r="AL25" s="37"/>
      <c r="AM25" s="36">
        <f>SUM(AL25/12*2*$E25*$G25*$I25*$L25*AM$9)+(AL25/12*10*$F25*$G25*$I25*$L25*AM$9)</f>
        <v>0</v>
      </c>
      <c r="AN25" s="37"/>
      <c r="AO25" s="36">
        <f>SUM(AN25/12*2*$E25*$G25*$I25*$L25*$AE$9)+(AN25/12*10*$F25*$G25*$I25*$L25*$AE$9)</f>
        <v>0</v>
      </c>
      <c r="AP25" s="37"/>
      <c r="AQ25" s="36"/>
      <c r="AR25" s="37"/>
      <c r="AS25" s="36">
        <f>SUM(AR25/12*2*$E25*$G25*$I25*$L25*AS$9)+(AR25/12*10*$F25*$G25*$I25*$L25*AS$9)</f>
        <v>0</v>
      </c>
      <c r="AT25" s="37"/>
      <c r="AU25" s="36">
        <f>SUM(AT25/12*2*$E25*$G25*$I25*$L25*$AI$9)+(AT25/12*10*$F25*$G25*$I25*$L25*$AI$9)</f>
        <v>0</v>
      </c>
      <c r="AV25" s="36">
        <v>10</v>
      </c>
      <c r="AW25" s="36">
        <f>SUM(AV25/12*2*$E25*$G25*$I25*$L25*AW$9)+(AV25/12*10*$F25*$G25*$I25*$L25*AW$9)</f>
        <v>208011.39333333334</v>
      </c>
      <c r="AX25" s="37"/>
      <c r="AY25" s="36">
        <f>SUM(AX25/12*2*$E25*$G25*$I25*$L25*AY$9)+(AX25/12*10*$F25*$G25*$I25*$L25*AY$9)</f>
        <v>0</v>
      </c>
      <c r="AZ25" s="37"/>
      <c r="BA25" s="36">
        <f>SUM(AZ25/12*2*$E25*$G25*$I25*$L25*BA$9)+(AZ25/12*10*$F25*$G25*$I25*$L25*BA$9)</f>
        <v>0</v>
      </c>
      <c r="BB25" s="36"/>
      <c r="BC25" s="36">
        <f>SUM(BB25/12*2*$E25*$G25*$I25*$L25*BC$9)+(BB25/12*10*$F25*$G25*$I25*$L25*BC$9)</f>
        <v>0</v>
      </c>
      <c r="BD25" s="36">
        <v>60</v>
      </c>
      <c r="BE25" s="36">
        <f>SUM(BD25/12*2*$E25*$G25*$I25*$L25*BE$9)+(BD25/12*10*$F25*$G25*$I25*$L25*BE$9)</f>
        <v>1248068.3599999999</v>
      </c>
      <c r="BF25" s="39">
        <v>50</v>
      </c>
      <c r="BG25" s="39">
        <f>(BF25/12*2*$E25*$G25*$I25*$M25*BG$9)+(BF25/12*10*$F25*$G25*$I25*$M25*BG$9)</f>
        <v>1248068.3600000001</v>
      </c>
      <c r="BH25" s="37"/>
      <c r="BI25" s="36">
        <f>(BH25/12*2*$E25*$G25*$I25*$M25*BI$9)+(BH25/12*10*$F25*$G25*$I25*$M25*BI$9)</f>
        <v>0</v>
      </c>
      <c r="BJ25" s="58">
        <v>33</v>
      </c>
      <c r="BK25" s="36">
        <f>(BJ25/12*2*$E25*$G25*$I25*$M25*BK$9)+(BJ25/12*10*$F25*$G25*$I25*$M25*BK$9)</f>
        <v>823725.11759999988</v>
      </c>
      <c r="BL25" s="36"/>
      <c r="BM25" s="36">
        <f>(BL25/12*2*$E25*$G25*$I25*$M25*BM$9)+(BL25/12*10*$F25*$G25*$I25*$M25*BM$9)</f>
        <v>0</v>
      </c>
      <c r="BN25" s="36"/>
      <c r="BO25" s="36">
        <f>(BN25/12*10*$F25*$G25*$I25*$M25*BO$9)</f>
        <v>0</v>
      </c>
      <c r="BP25" s="59"/>
      <c r="BQ25" s="36"/>
      <c r="BR25" s="40"/>
      <c r="BS25" s="36">
        <f>(BR25/12*10*$F25*$G25*$I25*$M25*BS$9)</f>
        <v>0</v>
      </c>
      <c r="BT25" s="37"/>
      <c r="BU25" s="36">
        <f>(BT25/12*2*$E25*$G25*$I25*$M25*BU$9)+(BT25/12*10*$F25*$G25*$I25*$M25*BU$9)</f>
        <v>0</v>
      </c>
      <c r="BV25" s="36">
        <v>2</v>
      </c>
      <c r="BW25" s="36">
        <f>(BV25/12*2*$E25*$G25*$I25*$M25*BW$9)+(BV25/12*10*$F25*$G25*$I25*$M25*BW$9)</f>
        <v>49922.734399999994</v>
      </c>
      <c r="BX25" s="58">
        <v>11</v>
      </c>
      <c r="BY25" s="36">
        <f>(BX25/12*2*$E25*$G25*$I25*$M25*BY$9)+(BX25/12*10*$F25*$G25*$I25*$M25*BY$9)</f>
        <v>274575.0392</v>
      </c>
      <c r="BZ25" s="58">
        <v>4</v>
      </c>
      <c r="CA25" s="36">
        <f>(BZ25/12*2*$E25*$G25*$I25*$M25*CA$9)+(BZ25/12*10*$F25*$G25*$I25*$M25*CA$9)</f>
        <v>99845.468799999988</v>
      </c>
      <c r="CB25" s="36">
        <v>30</v>
      </c>
      <c r="CC25" s="36">
        <v>50322.46</v>
      </c>
      <c r="CD25" s="36">
        <v>5</v>
      </c>
      <c r="CE25" s="36">
        <f>(CD25/12*2*$E25*$G25*$I25*$M25*CE$9)+(CD25/12*10*$F25*$G25*$I25*$M25*CE$9)</f>
        <v>124806.83600000001</v>
      </c>
      <c r="CF25" s="58">
        <v>60</v>
      </c>
      <c r="CG25" s="36">
        <f>(CF25/12*2*$E25*$G25*$I25*$N25*CG$9)+(CF25/12*10*$F25*$G25*$I25*$N25*CG$9)</f>
        <v>1987994.602</v>
      </c>
      <c r="CH25" s="58">
        <v>25</v>
      </c>
      <c r="CI25" s="36">
        <f>(CH25/12*2*$E25*$G25*$I25*$O25*$CI$9)+(CH25/12*10*$F25*$G25*$I25*$O25*$CI$9)</f>
        <v>954623.71583333332</v>
      </c>
      <c r="CJ25" s="36"/>
      <c r="CK25" s="36"/>
      <c r="CL25" s="36"/>
      <c r="CM25" s="36"/>
      <c r="CN25" s="41"/>
      <c r="CO25" s="41"/>
      <c r="CP25" s="42">
        <f>SUM(R25+P25+T25+V25+AB25+Z25+X25+AF25+AD25+AH25+AJ25+BF25+BJ25+AL25+AT25+AV25+BT25+BV25+BR25+BX25+BZ25+BN25+AN25+AP25+AR25+BH25+BL25+AX25+AZ25+BB25+BD25+BP25+CB25+CD25+CF25+CH25+CJ25+CL25)</f>
        <v>462</v>
      </c>
      <c r="CQ25" s="42">
        <f>SUM(S25+Q25+U25+W25+AC25+AA25+Y25+AG25+AE25+AI25+AK25+BG25+BK25+AM25+AU25+AW25+BU25+BW25+BS25+BY25+CA25+BO25+AO25+AQ25+AS25+BI25+BM25+AY25+BA25+BC25+BE25+BQ25+CC25+CE25+CG25+CI25+CK25+CM25)</f>
        <v>10808047.229033332</v>
      </c>
    </row>
    <row r="26" spans="1:95" ht="18.75" hidden="1" customHeight="1" x14ac:dyDescent="0.25">
      <c r="A26" s="124">
        <v>5</v>
      </c>
      <c r="B26" s="124"/>
      <c r="C26" s="125" t="s">
        <v>129</v>
      </c>
      <c r="D26" s="126" t="s">
        <v>130</v>
      </c>
      <c r="E26" s="110">
        <v>16026</v>
      </c>
      <c r="F26" s="134">
        <v>16828</v>
      </c>
      <c r="G26" s="138">
        <v>1.0900000000000001</v>
      </c>
      <c r="H26" s="136"/>
      <c r="I26" s="128"/>
      <c r="J26" s="129"/>
      <c r="K26" s="29"/>
      <c r="L26" s="97">
        <v>1.4</v>
      </c>
      <c r="M26" s="97">
        <v>1.68</v>
      </c>
      <c r="N26" s="97">
        <v>2.23</v>
      </c>
      <c r="O26" s="97">
        <v>2.57</v>
      </c>
      <c r="P26" s="139">
        <f>SUM(P27:P29)</f>
        <v>0</v>
      </c>
      <c r="Q26" s="139">
        <f t="shared" ref="Q26:BH26" si="40">SUM(Q27:Q29)</f>
        <v>0</v>
      </c>
      <c r="R26" s="139">
        <f t="shared" si="40"/>
        <v>0</v>
      </c>
      <c r="S26" s="139">
        <f t="shared" si="40"/>
        <v>0</v>
      </c>
      <c r="T26" s="139">
        <f t="shared" si="40"/>
        <v>63</v>
      </c>
      <c r="U26" s="139">
        <f t="shared" si="40"/>
        <v>2391663.5819999999</v>
      </c>
      <c r="V26" s="139">
        <f t="shared" si="40"/>
        <v>0</v>
      </c>
      <c r="W26" s="139">
        <f t="shared" si="40"/>
        <v>0</v>
      </c>
      <c r="X26" s="139">
        <f t="shared" si="40"/>
        <v>0</v>
      </c>
      <c r="Y26" s="139">
        <f t="shared" si="40"/>
        <v>0</v>
      </c>
      <c r="Z26" s="139">
        <f t="shared" si="40"/>
        <v>0</v>
      </c>
      <c r="AA26" s="139">
        <f t="shared" si="40"/>
        <v>0</v>
      </c>
      <c r="AB26" s="139">
        <f t="shared" si="40"/>
        <v>0</v>
      </c>
      <c r="AC26" s="139">
        <f t="shared" si="40"/>
        <v>0</v>
      </c>
      <c r="AD26" s="139">
        <f t="shared" si="40"/>
        <v>2</v>
      </c>
      <c r="AE26" s="139">
        <f t="shared" si="40"/>
        <v>77595.261333333328</v>
      </c>
      <c r="AF26" s="139">
        <f t="shared" si="40"/>
        <v>0</v>
      </c>
      <c r="AG26" s="139">
        <f t="shared" si="40"/>
        <v>0</v>
      </c>
      <c r="AH26" s="139">
        <f>SUM(AH27:AH29)</f>
        <v>19</v>
      </c>
      <c r="AI26" s="139">
        <f t="shared" si="40"/>
        <v>484923.63919999998</v>
      </c>
      <c r="AJ26" s="139">
        <v>1</v>
      </c>
      <c r="AK26" s="139">
        <v>25726.65</v>
      </c>
      <c r="AL26" s="139">
        <f t="shared" si="40"/>
        <v>0</v>
      </c>
      <c r="AM26" s="139">
        <f t="shared" si="40"/>
        <v>0</v>
      </c>
      <c r="AN26" s="139">
        <f t="shared" si="40"/>
        <v>0</v>
      </c>
      <c r="AO26" s="139">
        <f t="shared" si="40"/>
        <v>0</v>
      </c>
      <c r="AP26" s="139">
        <f t="shared" si="40"/>
        <v>0</v>
      </c>
      <c r="AQ26" s="139">
        <f t="shared" si="40"/>
        <v>0</v>
      </c>
      <c r="AR26" s="139">
        <f t="shared" si="40"/>
        <v>0</v>
      </c>
      <c r="AS26" s="139">
        <f t="shared" si="40"/>
        <v>0</v>
      </c>
      <c r="AT26" s="139">
        <f t="shared" si="40"/>
        <v>0</v>
      </c>
      <c r="AU26" s="139">
        <f t="shared" si="40"/>
        <v>0</v>
      </c>
      <c r="AV26" s="139">
        <f t="shared" si="40"/>
        <v>0</v>
      </c>
      <c r="AW26" s="139">
        <f t="shared" si="40"/>
        <v>0</v>
      </c>
      <c r="AX26" s="139">
        <f t="shared" si="40"/>
        <v>0</v>
      </c>
      <c r="AY26" s="139">
        <f t="shared" si="40"/>
        <v>0</v>
      </c>
      <c r="AZ26" s="139">
        <f t="shared" si="40"/>
        <v>0</v>
      </c>
      <c r="BA26" s="139">
        <f>SUM(BA27:BA29)</f>
        <v>0</v>
      </c>
      <c r="BB26" s="139">
        <f t="shared" si="40"/>
        <v>0</v>
      </c>
      <c r="BC26" s="139">
        <f>SUM(BC27:BC29)</f>
        <v>0</v>
      </c>
      <c r="BD26" s="139">
        <f t="shared" si="40"/>
        <v>5</v>
      </c>
      <c r="BE26" s="139">
        <f t="shared" si="40"/>
        <v>106342.90333333334</v>
      </c>
      <c r="BF26" s="139">
        <f t="shared" si="40"/>
        <v>7</v>
      </c>
      <c r="BG26" s="139">
        <f t="shared" si="40"/>
        <v>178656.07760000002</v>
      </c>
      <c r="BH26" s="139">
        <f t="shared" si="40"/>
        <v>0</v>
      </c>
      <c r="BI26" s="139">
        <f>SUM(BI27:BI29)</f>
        <v>0</v>
      </c>
      <c r="BJ26" s="139">
        <f t="shared" ref="BJ26:BT26" si="41">SUM(BJ27:BJ29)</f>
        <v>0</v>
      </c>
      <c r="BK26" s="139">
        <f t="shared" si="41"/>
        <v>0</v>
      </c>
      <c r="BL26" s="139">
        <f t="shared" si="41"/>
        <v>0</v>
      </c>
      <c r="BM26" s="139">
        <f t="shared" si="41"/>
        <v>0</v>
      </c>
      <c r="BN26" s="139">
        <f t="shared" si="41"/>
        <v>0</v>
      </c>
      <c r="BO26" s="139">
        <f>SUM(BO27:BO29)</f>
        <v>0</v>
      </c>
      <c r="BP26" s="139">
        <f t="shared" si="41"/>
        <v>0</v>
      </c>
      <c r="BQ26" s="139">
        <f>SUM(BQ27:BQ29)</f>
        <v>0</v>
      </c>
      <c r="BR26" s="139">
        <f t="shared" si="41"/>
        <v>5</v>
      </c>
      <c r="BS26" s="139">
        <f>SUM(BS27:BS29)</f>
        <v>107194.36</v>
      </c>
      <c r="BT26" s="139">
        <f t="shared" si="41"/>
        <v>0</v>
      </c>
      <c r="BU26" s="139">
        <f>SUM(BU27:BU29)</f>
        <v>0</v>
      </c>
      <c r="BV26" s="139">
        <f t="shared" ref="BV26:CQ26" si="42">SUM(BV27:BV29)</f>
        <v>6</v>
      </c>
      <c r="BW26" s="139">
        <f t="shared" si="42"/>
        <v>237273.22079999998</v>
      </c>
      <c r="BX26" s="139">
        <f t="shared" si="42"/>
        <v>0</v>
      </c>
      <c r="BY26" s="139">
        <f t="shared" si="42"/>
        <v>0</v>
      </c>
      <c r="BZ26" s="139">
        <f t="shared" si="42"/>
        <v>0</v>
      </c>
      <c r="CA26" s="139">
        <f t="shared" si="42"/>
        <v>0</v>
      </c>
      <c r="CB26" s="139">
        <f t="shared" si="42"/>
        <v>0</v>
      </c>
      <c r="CC26" s="139">
        <f t="shared" si="42"/>
        <v>0</v>
      </c>
      <c r="CD26" s="139">
        <f t="shared" si="42"/>
        <v>0</v>
      </c>
      <c r="CE26" s="139">
        <f t="shared" si="42"/>
        <v>0</v>
      </c>
      <c r="CF26" s="139">
        <f t="shared" si="42"/>
        <v>0</v>
      </c>
      <c r="CG26" s="139">
        <f t="shared" si="42"/>
        <v>0</v>
      </c>
      <c r="CH26" s="139">
        <f t="shared" si="42"/>
        <v>4</v>
      </c>
      <c r="CI26" s="139">
        <f t="shared" si="42"/>
        <v>156172.14946666663</v>
      </c>
      <c r="CJ26" s="139">
        <f t="shared" si="42"/>
        <v>0</v>
      </c>
      <c r="CK26" s="139">
        <f t="shared" si="42"/>
        <v>0</v>
      </c>
      <c r="CL26" s="139">
        <f t="shared" si="42"/>
        <v>0</v>
      </c>
      <c r="CM26" s="139">
        <f t="shared" si="42"/>
        <v>0</v>
      </c>
      <c r="CN26" s="139">
        <f t="shared" si="42"/>
        <v>0</v>
      </c>
      <c r="CO26" s="139">
        <f t="shared" si="42"/>
        <v>0</v>
      </c>
      <c r="CP26" s="139">
        <f t="shared" si="42"/>
        <v>112</v>
      </c>
      <c r="CQ26" s="139">
        <f t="shared" si="42"/>
        <v>3765547.8437333331</v>
      </c>
    </row>
    <row r="27" spans="1:95" s="3" customFormat="1" ht="18.75" hidden="1" customHeight="1" x14ac:dyDescent="0.25">
      <c r="A27" s="54"/>
      <c r="B27" s="54">
        <v>13</v>
      </c>
      <c r="C27" s="55" t="s">
        <v>131</v>
      </c>
      <c r="D27" s="64" t="s">
        <v>132</v>
      </c>
      <c r="E27" s="110">
        <v>16026</v>
      </c>
      <c r="F27" s="110">
        <v>16828</v>
      </c>
      <c r="G27" s="33">
        <v>0.91</v>
      </c>
      <c r="H27" s="34"/>
      <c r="I27" s="35">
        <v>1</v>
      </c>
      <c r="J27" s="111"/>
      <c r="K27" s="35"/>
      <c r="L27" s="97">
        <v>1.4</v>
      </c>
      <c r="M27" s="97">
        <v>1.68</v>
      </c>
      <c r="N27" s="97">
        <v>2.23</v>
      </c>
      <c r="O27" s="97">
        <v>2.57</v>
      </c>
      <c r="P27" s="36"/>
      <c r="Q27" s="36">
        <f>SUM(P27/12*2*$E27*$G27*$I27*$L27*$Q$9)+(P27/12*10*$F27*$G27*$I27*$L27*$Q$9)</f>
        <v>0</v>
      </c>
      <c r="R27" s="37"/>
      <c r="S27" s="36">
        <f>SUM(R27/12*2*$E27*$G27*$I27*$L27*S$9)+(R27/12*10*$F27*$G27*$I27*$L27*S$9)</f>
        <v>0</v>
      </c>
      <c r="T27" s="36">
        <v>33</v>
      </c>
      <c r="U27" s="36">
        <f>SUM(T27/12*2*$E27*$G27*$I27*$L27*U$9)+(T27/12*10*$F27*$G27*$I27*$L27*U$9)</f>
        <v>701863.16200000001</v>
      </c>
      <c r="V27" s="37"/>
      <c r="W27" s="36">
        <f>SUM(V27/12*2*$E27*$G27*$I27*$L27*$W$9)+(V27/12*10*$F27*$G27*$I27*$L27*$W$9)</f>
        <v>0</v>
      </c>
      <c r="X27" s="37"/>
      <c r="Y27" s="38">
        <f>SUM(X27/12*2*$E27*$G27*$I27*$L27*Y$9)+(X27/12*10*$F27*$G27*$I27*$L27*Y$9)</f>
        <v>0</v>
      </c>
      <c r="Z27" s="37"/>
      <c r="AA27" s="36"/>
      <c r="AB27" s="37">
        <v>0</v>
      </c>
      <c r="AC27" s="36">
        <f>(AB27/12*2*$E27*$G27*$I27*$L27)+(AB27/12*10*$F27*$G27*$I27*$L27)</f>
        <v>0</v>
      </c>
      <c r="AD27" s="39">
        <v>1</v>
      </c>
      <c r="AE27" s="36">
        <f>(AD27/12*2*$E27*$G27*$I27*$L27*AE$9)+(AD27/12*10*$F27*$G27*$I27*$L27*AE$9)</f>
        <v>21268.580666666661</v>
      </c>
      <c r="AF27" s="37">
        <v>0</v>
      </c>
      <c r="AG27" s="36">
        <f>(AF27/12*2*$E27*$G27*$I27*$M27*AG$9)+(AF27/12*10*$F27*$G27*$I27*$M27*AG$9)</f>
        <v>0</v>
      </c>
      <c r="AH27" s="36">
        <v>19</v>
      </c>
      <c r="AI27" s="36">
        <f>(AH27/12*2*$E27*$G27*$I27*$M27*$AI$9)+(AH27/12*10*$F27*$G27*$I27*$M27*$AI$9)</f>
        <v>484923.63919999998</v>
      </c>
      <c r="AJ27" s="36">
        <v>1</v>
      </c>
      <c r="AK27" s="36">
        <v>25726.65</v>
      </c>
      <c r="AL27" s="37"/>
      <c r="AM27" s="36">
        <f>SUM(AL27/12*2*$E27*$G27*$I27*$L27*AM$9)+(AL27/12*10*$F27*$G27*$I27*$L27*AM$9)</f>
        <v>0</v>
      </c>
      <c r="AN27" s="37"/>
      <c r="AO27" s="36">
        <f>SUM(AN27/12*2*$E27*$G27*$I27*$L27*$AE$9)+(AN27/12*10*$F27*$G27*$I27*$L27*$AE$9)</f>
        <v>0</v>
      </c>
      <c r="AP27" s="37"/>
      <c r="AQ27" s="36"/>
      <c r="AR27" s="37"/>
      <c r="AS27" s="36">
        <f>SUM(AR27/12*2*$E27*$G27*$I27*$L27*AS$9)+(AR27/12*10*$F27*$G27*$I27*$L27*AS$9)</f>
        <v>0</v>
      </c>
      <c r="AT27" s="37"/>
      <c r="AU27" s="36">
        <f>SUM(AT27/12*2*$E27*$G27*$I27*$L27*$AI$9)+(AT27/12*10*$F27*$G27*$I27*$L27*$AI$9)</f>
        <v>0</v>
      </c>
      <c r="AV27" s="37"/>
      <c r="AW27" s="36">
        <f>SUM(AV27/12*2*$E27*$G27*$I27*$L27*AW$9)+(AV27/12*10*$F27*$G27*$I27*$L27*AW$9)</f>
        <v>0</v>
      </c>
      <c r="AX27" s="37"/>
      <c r="AY27" s="36">
        <f>SUM(AX27/12*2*$E27*$G27*$I27*$L27*AY$9)+(AX27/12*10*$F27*$G27*$I27*$L27*AY$9)</f>
        <v>0</v>
      </c>
      <c r="AZ27" s="37"/>
      <c r="BA27" s="36">
        <f>SUM(AZ27/12*2*$E27*$G27*$I27*$L27*BA$9)+(AZ27/12*10*$F27*$G27*$I27*$L27*BA$9)</f>
        <v>0</v>
      </c>
      <c r="BB27" s="36"/>
      <c r="BC27" s="36">
        <f>SUM(BB27/12*2*$E27*$G27*$I27*$L27*BC$9)+(BB27/12*10*$F27*$G27*$I27*$L27*BC$9)</f>
        <v>0</v>
      </c>
      <c r="BD27" s="36">
        <v>5</v>
      </c>
      <c r="BE27" s="36">
        <f>SUM(BD27/12*2*$E27*$G27*$I27*$L27*BE$9)+(BD27/12*10*$F27*$G27*$I27*$L27*BE$9)</f>
        <v>106342.90333333334</v>
      </c>
      <c r="BF27" s="39">
        <v>7</v>
      </c>
      <c r="BG27" s="39">
        <f>(BF27/12*2*$E27*$G27*$I27*$M27*BG$9)+(BF27/12*10*$F27*$G27*$I27*$M27*BG$9)</f>
        <v>178656.07760000002</v>
      </c>
      <c r="BH27" s="37"/>
      <c r="BI27" s="36">
        <f>(BH27/12*2*$E27*$G27*$I27*$M27*BI$9)+(BH27/12*10*$F27*$G27*$I27*$M27*BI$9)</f>
        <v>0</v>
      </c>
      <c r="BJ27" s="40"/>
      <c r="BK27" s="36">
        <f>(BJ27/12*2*$E27*$G27*$I27*$M27*BK$9)+(BJ27/12*10*$F27*$G27*$I27*$M27*BK$9)</f>
        <v>0</v>
      </c>
      <c r="BL27" s="36"/>
      <c r="BM27" s="36">
        <f>(BL27/12*2*$E27*$G27*$I27*$M27*BM$9)+(BL27/12*10*$F27*$G27*$I27*$M27*BM$9)</f>
        <v>0</v>
      </c>
      <c r="BN27" s="39"/>
      <c r="BO27" s="36">
        <f>(BN27/12*10*$F27*$G27*$I27*$M27*BO$9)</f>
        <v>0</v>
      </c>
      <c r="BP27" s="39"/>
      <c r="BQ27" s="36"/>
      <c r="BR27" s="36">
        <v>5</v>
      </c>
      <c r="BS27" s="36">
        <f>(BR27/12*10*$F27*$G27*$I27*$M27*BS$9)</f>
        <v>107194.36</v>
      </c>
      <c r="BT27" s="37"/>
      <c r="BU27" s="36">
        <f>(BT27/12*2*$E27*$G27*$I27*$M27*BU$9)+(BT27/12*10*$F27*$G27*$I27*$M27*BU$9)</f>
        <v>0</v>
      </c>
      <c r="BV27" s="36">
        <v>4</v>
      </c>
      <c r="BW27" s="36">
        <f>(BV27/12*2*$E27*$G27*$I27*$M27*BW$9)+(BV27/12*10*$F27*$G27*$I27*$M27*BW$9)</f>
        <v>102089.18719999999</v>
      </c>
      <c r="BX27" s="37"/>
      <c r="BY27" s="36">
        <f>(BX27/12*2*$E27*$G27*$I27*$M27*BY$9)+(BX27/12*10*$F27*$G27*$I27*$M27*BY$9)</f>
        <v>0</v>
      </c>
      <c r="BZ27" s="37"/>
      <c r="CA27" s="36">
        <f>(BZ27/12*2*$E27*$G27*$I27*$M27*CA$9)+(BZ27/12*10*$F27*$G27*$I27*$M27*CA$9)</f>
        <v>0</v>
      </c>
      <c r="CB27" s="36"/>
      <c r="CC27" s="36">
        <f>(CB27/12*2*$E27*$G27*$I27*$M27*CC$9)+(CB27/12*10*$F27*$G27*$I27*$M27*CC$9)</f>
        <v>0</v>
      </c>
      <c r="CD27" s="36"/>
      <c r="CE27" s="36">
        <f>(CD27/12*2*$E27*$G27*$I27*$M27*CE$9)+(CD27/12*10*$F27*$G27*$I27*$M27*CE$9)</f>
        <v>0</v>
      </c>
      <c r="CF27" s="58"/>
      <c r="CG27" s="36">
        <f>(CF27/12*2*$E27*$G27*$I27*$N27*CG$9)+(CF27/12*10*$F27*$G27*$I27*$N27*CG$9)</f>
        <v>0</v>
      </c>
      <c r="CH27" s="58">
        <v>4</v>
      </c>
      <c r="CI27" s="36">
        <f>(CH27/12*2*$E27*$G27*$I27*$O27*$CI$9)+(CH27/12*10*$F27*$G27*$I27*$O27*$CI$9)</f>
        <v>156172.14946666663</v>
      </c>
      <c r="CJ27" s="36"/>
      <c r="CK27" s="36"/>
      <c r="CL27" s="36"/>
      <c r="CM27" s="36"/>
      <c r="CN27" s="41"/>
      <c r="CO27" s="41"/>
      <c r="CP27" s="42">
        <f t="shared" ref="CP27:CQ29" si="43">SUM(R27+P27+T27+V27+AB27+Z27+X27+AF27+AD27+AH27+AJ27+BF27+BJ27+AL27+AT27+AV27+BT27+BV27+BR27+BX27+BZ27+BN27+AN27+AP27+AR27+BH27+BL27+AX27+AZ27+BB27+BD27+BP27+CB27+CD27+CF27+CH27+CJ27+CL27)</f>
        <v>79</v>
      </c>
      <c r="CQ27" s="42">
        <f t="shared" si="43"/>
        <v>1884236.7094666664</v>
      </c>
    </row>
    <row r="28" spans="1:95" s="3" customFormat="1" ht="18.75" hidden="1" customHeight="1" x14ac:dyDescent="0.25">
      <c r="A28" s="54"/>
      <c r="B28" s="54">
        <v>14</v>
      </c>
      <c r="C28" s="55" t="s">
        <v>133</v>
      </c>
      <c r="D28" s="64" t="s">
        <v>134</v>
      </c>
      <c r="E28" s="110">
        <v>16026</v>
      </c>
      <c r="F28" s="110">
        <v>16828</v>
      </c>
      <c r="G28" s="33">
        <v>2.41</v>
      </c>
      <c r="H28" s="34"/>
      <c r="I28" s="35">
        <v>1</v>
      </c>
      <c r="J28" s="111"/>
      <c r="K28" s="35"/>
      <c r="L28" s="97">
        <v>1.4</v>
      </c>
      <c r="M28" s="97">
        <v>1.68</v>
      </c>
      <c r="N28" s="97">
        <v>2.23</v>
      </c>
      <c r="O28" s="97">
        <v>2.57</v>
      </c>
      <c r="P28" s="36"/>
      <c r="Q28" s="36">
        <f>SUM(P28/12*2*$E28*$G28*$I28*$L28*$Q$9)+(P28/12*10*$F28*$G28*$I28*$L28*$Q$9)</f>
        <v>0</v>
      </c>
      <c r="R28" s="37"/>
      <c r="S28" s="36">
        <f>SUM(R28/12*2*$E28*$G28*$I28*$L28*S$9)+(R28/12*10*$F28*$G28*$I28*$L28*S$9)</f>
        <v>0</v>
      </c>
      <c r="T28" s="36">
        <v>30</v>
      </c>
      <c r="U28" s="36">
        <f>SUM(T28/12*2*$E28*$G28*$I28*$L28*U$9)+(T28/12*10*$F28*$G28*$I28*$L28*U$9)</f>
        <v>1689800.42</v>
      </c>
      <c r="V28" s="37"/>
      <c r="W28" s="36">
        <f>SUM(V28/12*2*$E28*$G28*$I28*$L28*$W$9)+(V28/12*10*$F28*$G28*$I28*$L28*$W$9)</f>
        <v>0</v>
      </c>
      <c r="X28" s="37"/>
      <c r="Y28" s="38">
        <f>SUM(X28/12*2*$E28*$G28*$I28*$L28*Y$9)+(X28/12*10*$F28*$G28*$I28*$L28*Y$9)</f>
        <v>0</v>
      </c>
      <c r="Z28" s="37"/>
      <c r="AA28" s="36"/>
      <c r="AB28" s="37">
        <v>0</v>
      </c>
      <c r="AC28" s="36">
        <f>(AB28/12*2*$E28*$G28*$I28*$L28)+(AB28/12*10*$F28*$G28*$I28*$L28)</f>
        <v>0</v>
      </c>
      <c r="AD28" s="39">
        <v>1</v>
      </c>
      <c r="AE28" s="36">
        <f>(AD28/12*2*$E28*$G28*$I28*$L28*AE$9)+(AD28/12*10*$F28*$G28*$I28*$L28*AE$9)</f>
        <v>56326.68066666666</v>
      </c>
      <c r="AF28" s="37">
        <v>0</v>
      </c>
      <c r="AG28" s="36">
        <f>(AF28/12*2*$E28*$G28*$I28*$M28*AG$9)+(AF28/12*10*$F28*$G28*$I28*$M28*AG$9)</f>
        <v>0</v>
      </c>
      <c r="AH28" s="40"/>
      <c r="AI28" s="36">
        <f>(AH28/12*2*$E28*$G28*$I28*$M28*$AI$9)+(AH28/12*10*$F28*$G28*$I28*$M28*$AI$9)</f>
        <v>0</v>
      </c>
      <c r="AJ28" s="36">
        <v>0</v>
      </c>
      <c r="AK28" s="36">
        <v>0</v>
      </c>
      <c r="AL28" s="37"/>
      <c r="AM28" s="36">
        <f>SUM(AL28/12*2*$E28*$G28*$I28*$L28*AM$9)+(AL28/12*10*$F28*$G28*$I28*$L28*AM$9)</f>
        <v>0</v>
      </c>
      <c r="AN28" s="37"/>
      <c r="AO28" s="36">
        <f>SUM(AN28/12*2*$E28*$G28*$I28*$L28*$AE$9)+(AN28/12*10*$F28*$G28*$I28*$L28*$AE$9)</f>
        <v>0</v>
      </c>
      <c r="AP28" s="37"/>
      <c r="AQ28" s="36"/>
      <c r="AR28" s="37"/>
      <c r="AS28" s="36">
        <f>SUM(AR28/12*2*$E28*$G28*$I28*$L28*AS$9)+(AR28/12*10*$F28*$G28*$I28*$L28*AS$9)</f>
        <v>0</v>
      </c>
      <c r="AT28" s="37"/>
      <c r="AU28" s="36">
        <f>SUM(AT28/12*2*$E28*$G28*$I28*$L28*$AI$9)+(AT28/12*10*$F28*$G28*$I28*$L28*$AI$9)</f>
        <v>0</v>
      </c>
      <c r="AV28" s="37"/>
      <c r="AW28" s="36">
        <f>SUM(AV28/12*2*$E28*$G28*$I28*$L28*AW$9)+(AV28/12*10*$F28*$G28*$I28*$L28*AW$9)</f>
        <v>0</v>
      </c>
      <c r="AX28" s="37"/>
      <c r="AY28" s="36">
        <f>SUM(AX28/12*2*$E28*$G28*$I28*$L28*AY$9)+(AX28/12*10*$F28*$G28*$I28*$L28*AY$9)</f>
        <v>0</v>
      </c>
      <c r="AZ28" s="37"/>
      <c r="BA28" s="36">
        <f>SUM(AZ28/12*2*$E28*$G28*$I28*$L28*BA$9)+(AZ28/12*10*$F28*$G28*$I28*$L28*BA$9)</f>
        <v>0</v>
      </c>
      <c r="BB28" s="37"/>
      <c r="BC28" s="36">
        <f>SUM(BB28/12*2*$E28*$G28*$I28*$L28*BC$9)+(BB28/12*10*$F28*$G28*$I28*$L28*BC$9)</f>
        <v>0</v>
      </c>
      <c r="BD28" s="37"/>
      <c r="BE28" s="36">
        <f>SUM(BD28/12*2*$E28*$G28*$I28*$L28*BE$9)+(BD28/12*10*$F28*$G28*$I28*$L28*BE$9)</f>
        <v>0</v>
      </c>
      <c r="BF28" s="37"/>
      <c r="BG28" s="39">
        <f>(BF28/12*2*$E28*$G28*$I28*$M28*BG$9)+(BF28/12*10*$F28*$G28*$I28*$M28*BG$9)</f>
        <v>0</v>
      </c>
      <c r="BH28" s="37"/>
      <c r="BI28" s="36">
        <f>(BH28/12*2*$E28*$G28*$I28*$M28*BI$9)+(BH28/12*10*$F28*$G28*$I28*$M28*BI$9)</f>
        <v>0</v>
      </c>
      <c r="BJ28" s="40"/>
      <c r="BK28" s="36">
        <f>(BJ28/12*2*$E28*$G28*$I28*$M28*BK$9)+(BJ28/12*10*$F28*$G28*$I28*$M28*BK$9)</f>
        <v>0</v>
      </c>
      <c r="BL28" s="36"/>
      <c r="BM28" s="36">
        <f>(BL28/12*2*$E28*$G28*$I28*$M28*BM$9)+(BL28/12*10*$F28*$G28*$I28*$M28*BM$9)</f>
        <v>0</v>
      </c>
      <c r="BN28" s="37"/>
      <c r="BO28" s="36">
        <f>(BN28/12*10*$F28*$G28*$I28*$M28*BO$9)</f>
        <v>0</v>
      </c>
      <c r="BP28" s="39"/>
      <c r="BQ28" s="36"/>
      <c r="BR28" s="36"/>
      <c r="BS28" s="36">
        <f>(BR28/12*10*$F28*$G28*$I28*$M28*BS$9)</f>
        <v>0</v>
      </c>
      <c r="BT28" s="37"/>
      <c r="BU28" s="36">
        <f>(BT28/12*2*$E28*$G28*$I28*$M28*BU$9)+(BT28/12*10*$F28*$G28*$I28*$M28*BU$9)</f>
        <v>0</v>
      </c>
      <c r="BV28" s="36">
        <v>2</v>
      </c>
      <c r="BW28" s="36">
        <f>(BV28/12*2*$E28*$G28*$I28*$M28*BW$9)+(BV28/12*10*$F28*$G28*$I28*$M28*BW$9)</f>
        <v>135184.0336</v>
      </c>
      <c r="BX28" s="37"/>
      <c r="BY28" s="36">
        <f>(BX28/12*2*$E28*$G28*$I28*$M28*BY$9)+(BX28/12*10*$F28*$G28*$I28*$M28*BY$9)</f>
        <v>0</v>
      </c>
      <c r="BZ28" s="37"/>
      <c r="CA28" s="36">
        <f>(BZ28/12*2*$E28*$G28*$I28*$M28*CA$9)+(BZ28/12*10*$F28*$G28*$I28*$M28*CA$9)</f>
        <v>0</v>
      </c>
      <c r="CB28" s="37"/>
      <c r="CC28" s="36">
        <f>(CB28/12*2*$E28*$G28*$I28*$M28*CC$9)+(CB28/12*10*$F28*$G28*$I28*$M28*CC$9)</f>
        <v>0</v>
      </c>
      <c r="CD28" s="36"/>
      <c r="CE28" s="36">
        <f>(CD28/12*2*$E28*$G28*$I28*$M28*CE$9)+(CD28/12*10*$F28*$G28*$I28*$M28*CE$9)</f>
        <v>0</v>
      </c>
      <c r="CF28" s="58"/>
      <c r="CG28" s="36">
        <f>(CF28/12*2*$E28*$G28*$I28*$N28*CG$9)+(CF28/12*10*$F28*$G28*$I28*$N28*CG$9)</f>
        <v>0</v>
      </c>
      <c r="CH28" s="40"/>
      <c r="CI28" s="36">
        <f>(CH28/12*2*$E28*$G28*$I28*$O28*$CI$9)+(CH28/12*10*$F28*$G28*$I28*$O28*$CI$9)</f>
        <v>0</v>
      </c>
      <c r="CJ28" s="36"/>
      <c r="CK28" s="36"/>
      <c r="CL28" s="36"/>
      <c r="CM28" s="36"/>
      <c r="CN28" s="41"/>
      <c r="CO28" s="41"/>
      <c r="CP28" s="42">
        <f t="shared" si="43"/>
        <v>33</v>
      </c>
      <c r="CQ28" s="42">
        <f t="shared" si="43"/>
        <v>1881311.1342666666</v>
      </c>
    </row>
    <row r="29" spans="1:95" s="3" customFormat="1" ht="45" hidden="1" customHeight="1" x14ac:dyDescent="0.25">
      <c r="A29" s="54"/>
      <c r="B29" s="54">
        <v>15</v>
      </c>
      <c r="C29" s="55" t="s">
        <v>135</v>
      </c>
      <c r="D29" s="64" t="s">
        <v>136</v>
      </c>
      <c r="E29" s="110">
        <v>16026</v>
      </c>
      <c r="F29" s="110">
        <v>16828</v>
      </c>
      <c r="G29" s="33">
        <v>3.73</v>
      </c>
      <c r="H29" s="34"/>
      <c r="I29" s="35">
        <v>1</v>
      </c>
      <c r="J29" s="111"/>
      <c r="K29" s="35"/>
      <c r="L29" s="65">
        <v>1.4</v>
      </c>
      <c r="M29" s="65">
        <v>1.68</v>
      </c>
      <c r="N29" s="65">
        <v>2.23</v>
      </c>
      <c r="O29" s="65">
        <v>2.57</v>
      </c>
      <c r="P29" s="36"/>
      <c r="Q29" s="36">
        <f>SUM(P29/12*2*$E29*$G29*$I29*$L29*$Q$9)+(P29/12*10*$F29*$G29*$I29*$L29*$Q$9)</f>
        <v>0</v>
      </c>
      <c r="R29" s="37"/>
      <c r="S29" s="36">
        <f>SUM(R29/12*2*$E29*$G29*$I29*$L29*S$9)+(R29/12*10*$F29*$G29*$I29*$L29*S$9)</f>
        <v>0</v>
      </c>
      <c r="T29" s="36"/>
      <c r="U29" s="36">
        <f>SUM(T29/12*2*$E29*$G29*$I29*$L29*U$9)+(T29/12*10*$F29*$G29*$I29*$L29*U$9)</f>
        <v>0</v>
      </c>
      <c r="V29" s="36"/>
      <c r="W29" s="36">
        <f>SUM(V29/12*2*$E29*$G29*$I29*$L29*$W$9)+(V29/12*10*$F29*$G29*$I29*$L29*$W$9)</f>
        <v>0</v>
      </c>
      <c r="X29" s="37"/>
      <c r="Y29" s="38">
        <f>SUM(X29/12*2*$E29*$G29*$I29*$L29*Y$9)+(X29/12*10*$F29*$G29*$I29*$L29*Y$9)</f>
        <v>0</v>
      </c>
      <c r="Z29" s="37"/>
      <c r="AA29" s="36"/>
      <c r="AB29" s="37"/>
      <c r="AC29" s="36">
        <f>(AB29/12*2*$E29*$G29*$I29*$L29)+(AB29/12*10*$F29*$G29*$I29*$L29)</f>
        <v>0</v>
      </c>
      <c r="AD29" s="37">
        <v>0</v>
      </c>
      <c r="AE29" s="36">
        <f>(AD29/12*2*$E29*$G29*$I29*$L29*AE$9)+(AD29/12*10*$F29*$G29*$I29*$L29*AE$9)</f>
        <v>0</v>
      </c>
      <c r="AF29" s="36"/>
      <c r="AG29" s="36">
        <f>(AF29/12*2*$E29*$G29*$I29*$M29*AG$9)+(AF29/12*10*$F29*$G29*$I29*$M29*AG$9)</f>
        <v>0</v>
      </c>
      <c r="AH29" s="37"/>
      <c r="AI29" s="36">
        <f>(AH29/12*2*$E29*$G29*$I29*$M29*$AI$9)+(AH29/12*10*$F29*$G29*$I29*$M29*$AI$9)</f>
        <v>0</v>
      </c>
      <c r="AJ29" s="36">
        <v>0</v>
      </c>
      <c r="AK29" s="36">
        <v>0</v>
      </c>
      <c r="AL29" s="37"/>
      <c r="AM29" s="36">
        <f>SUM(AL29/12*2*$E29*$G29*$I29*$L29*AM$9)+(AL29/12*10*$F29*$G29*$I29*$L29*AM$9)</f>
        <v>0</v>
      </c>
      <c r="AN29" s="37"/>
      <c r="AO29" s="36">
        <f>SUM(AN29/12*2*$E29*$G29*$I29*$L29*$AE$9)+(AN29/12*10*$F29*$G29*$I29*$L29*$AE$9)</f>
        <v>0</v>
      </c>
      <c r="AP29" s="37"/>
      <c r="AQ29" s="36"/>
      <c r="AR29" s="37"/>
      <c r="AS29" s="36">
        <f>SUM(AR29/12*2*$E29*$G29*$I29*$L29*AS$9)+(AR29/12*10*$F29*$G29*$I29*$L29*AS$9)</f>
        <v>0</v>
      </c>
      <c r="AT29" s="37"/>
      <c r="AU29" s="36">
        <f>SUM(AT29/12*2*$E29*$G29*$I29*$L29*$AI$9)+(AT29/12*10*$F29*$G29*$I29*$L29*$AI$9)</f>
        <v>0</v>
      </c>
      <c r="AV29" s="37"/>
      <c r="AW29" s="36">
        <f>SUM(AV29/12*2*$E29*$G29*$I29*$L29*AW$9)+(AV29/12*10*$F29*$G29*$I29*$L29*AW$9)</f>
        <v>0</v>
      </c>
      <c r="AX29" s="37"/>
      <c r="AY29" s="36">
        <f>SUM(AX29/12*2*$E29*$G29*$I29*$L29*AY$9)+(AX29/12*10*$F29*$G29*$I29*$L29*AY$9)</f>
        <v>0</v>
      </c>
      <c r="AZ29" s="37"/>
      <c r="BA29" s="36">
        <f>SUM(AZ29/12*2*$E29*$G29*$I29*$L29*BA$9)+(AZ29/12*10*$F29*$G29*$I29*$L29*BA$9)</f>
        <v>0</v>
      </c>
      <c r="BB29" s="37"/>
      <c r="BC29" s="36">
        <f>SUM(BB29/12*2*$E29*$G29*$I29*$L29*BC$9)+(BB29/12*10*$F29*$G29*$I29*$L29*BC$9)</f>
        <v>0</v>
      </c>
      <c r="BD29" s="37"/>
      <c r="BE29" s="36">
        <f>SUM(BD29/12*2*$E29*$G29*$I29*$L29*BE$9)+(BD29/12*10*$F29*$G29*$I29*$L29*BE$9)</f>
        <v>0</v>
      </c>
      <c r="BF29" s="37"/>
      <c r="BG29" s="39">
        <f>(BF29/12*2*$E29*$G29*$I29*$M29*BG$9)+(BF29/12*10*$F29*$G29*$I29*$M29*BG$9)</f>
        <v>0</v>
      </c>
      <c r="BH29" s="60"/>
      <c r="BI29" s="36">
        <f>(BH29/12*2*$E29*$G29*$I29*$M29*BI$9)+(BH29/12*10*$F29*$G29*$I29*$M29*BI$9)</f>
        <v>0</v>
      </c>
      <c r="BJ29" s="37"/>
      <c r="BK29" s="36">
        <f>(BJ29/12*2*$E29*$G29*$I29*$M29*BK$9)+(BJ29/12*10*$F29*$G29*$I29*$M29*BK$9)</f>
        <v>0</v>
      </c>
      <c r="BL29" s="36"/>
      <c r="BM29" s="36">
        <f>(BL29/12*2*$E29*$G29*$I29*$M29*BM$9)+(BL29/12*10*$F29*$G29*$I29*$M29*BM$9)</f>
        <v>0</v>
      </c>
      <c r="BN29" s="37"/>
      <c r="BO29" s="36">
        <f>(BN29/12*10*$F29*$G29*$I29*$M29*BO$9)</f>
        <v>0</v>
      </c>
      <c r="BP29" s="39"/>
      <c r="BQ29" s="36"/>
      <c r="BR29" s="36"/>
      <c r="BS29" s="36">
        <f>(BR29/12*10*$F29*$G29*$I29*$M29*BS$9)</f>
        <v>0</v>
      </c>
      <c r="BT29" s="37"/>
      <c r="BU29" s="36">
        <f>(BT29/12*2*$E29*$G29*$I29*$M29*BU$9)+(BT29/12*10*$F29*$G29*$I29*$M29*BU$9)</f>
        <v>0</v>
      </c>
      <c r="BV29" s="36"/>
      <c r="BW29" s="36">
        <f>(BV29/12*2*$E29*$G29*$I29*$M29*BW$9)+(BV29/12*10*$F29*$G29*$I29*$M29*BW$9)</f>
        <v>0</v>
      </c>
      <c r="BX29" s="37"/>
      <c r="BY29" s="36">
        <f>(BX29/12*2*$E29*$G29*$I29*$M29*BY$9)+(BX29/12*10*$F29*$G29*$I29*$M29*BY$9)</f>
        <v>0</v>
      </c>
      <c r="BZ29" s="37"/>
      <c r="CA29" s="36">
        <f>(BZ29/12*2*$E29*$G29*$I29*$M29*CA$9)+(BZ29/12*10*$F29*$G29*$I29*$M29*CA$9)</f>
        <v>0</v>
      </c>
      <c r="CB29" s="37"/>
      <c r="CC29" s="36">
        <f>(CB29/12*2*$E29*$G29*$I29*$M29*CC$9)+(CB29/12*10*$F29*$G29*$I29*$M29*CC$9)</f>
        <v>0</v>
      </c>
      <c r="CD29" s="36"/>
      <c r="CE29" s="36">
        <f>(CD29/12*2*$E29*$G29*$I29*$M29*CE$9)+(CD29/12*10*$F29*$G29*$I29*$M29*CE$9)</f>
        <v>0</v>
      </c>
      <c r="CF29" s="36"/>
      <c r="CG29" s="36">
        <f>(CF29/12*2*$E29*$G29*$I29*$N29*CG$9)+(CF29/12*10*$F29*$G29*$I29*$N29*CG$9)</f>
        <v>0</v>
      </c>
      <c r="CH29" s="37"/>
      <c r="CI29" s="36">
        <f>(CH29/12*2*$E29*$G29*$I29*$O29*$CI$9)+(CH29/12*10*$F29*$G29*$I29*$O29*$CI$9)</f>
        <v>0</v>
      </c>
      <c r="CJ29" s="36"/>
      <c r="CK29" s="36"/>
      <c r="CL29" s="36"/>
      <c r="CM29" s="36"/>
      <c r="CN29" s="41"/>
      <c r="CO29" s="41"/>
      <c r="CP29" s="42">
        <f t="shared" si="43"/>
        <v>0</v>
      </c>
      <c r="CQ29" s="42">
        <f t="shared" si="43"/>
        <v>0</v>
      </c>
    </row>
    <row r="30" spans="1:95" s="61" customFormat="1" ht="18.75" hidden="1" customHeight="1" x14ac:dyDescent="0.25">
      <c r="A30" s="140">
        <v>6</v>
      </c>
      <c r="B30" s="140"/>
      <c r="C30" s="125" t="s">
        <v>137</v>
      </c>
      <c r="D30" s="126" t="s">
        <v>138</v>
      </c>
      <c r="E30" s="110">
        <v>16026</v>
      </c>
      <c r="F30" s="134">
        <v>16828</v>
      </c>
      <c r="G30" s="138">
        <v>1.54</v>
      </c>
      <c r="H30" s="136"/>
      <c r="I30" s="128"/>
      <c r="J30" s="129"/>
      <c r="K30" s="29"/>
      <c r="L30" s="97">
        <v>1.4</v>
      </c>
      <c r="M30" s="97">
        <v>1.68</v>
      </c>
      <c r="N30" s="97">
        <v>2.23</v>
      </c>
      <c r="O30" s="97">
        <v>2.57</v>
      </c>
      <c r="P30" s="139">
        <f>SUM(P31:P34)</f>
        <v>0</v>
      </c>
      <c r="Q30" s="139">
        <f t="shared" ref="Q30:BH30" si="44">SUM(Q31:Q34)</f>
        <v>0</v>
      </c>
      <c r="R30" s="139">
        <f t="shared" si="44"/>
        <v>0</v>
      </c>
      <c r="S30" s="139">
        <f t="shared" si="44"/>
        <v>0</v>
      </c>
      <c r="T30" s="139">
        <f t="shared" si="44"/>
        <v>0</v>
      </c>
      <c r="U30" s="139">
        <f t="shared" si="44"/>
        <v>0</v>
      </c>
      <c r="V30" s="139">
        <f t="shared" si="44"/>
        <v>0</v>
      </c>
      <c r="W30" s="139">
        <f t="shared" si="44"/>
        <v>0</v>
      </c>
      <c r="X30" s="139">
        <f t="shared" si="44"/>
        <v>0</v>
      </c>
      <c r="Y30" s="139">
        <f t="shared" si="44"/>
        <v>0</v>
      </c>
      <c r="Z30" s="139">
        <f t="shared" si="44"/>
        <v>172</v>
      </c>
      <c r="AA30" s="139">
        <f t="shared" si="44"/>
        <v>4164939.8989391332</v>
      </c>
      <c r="AB30" s="139">
        <f t="shared" si="44"/>
        <v>0</v>
      </c>
      <c r="AC30" s="139">
        <f t="shared" si="44"/>
        <v>0</v>
      </c>
      <c r="AD30" s="139">
        <f t="shared" si="44"/>
        <v>0</v>
      </c>
      <c r="AE30" s="139">
        <f t="shared" si="44"/>
        <v>0</v>
      </c>
      <c r="AF30" s="139">
        <f t="shared" si="44"/>
        <v>0</v>
      </c>
      <c r="AG30" s="139">
        <f t="shared" si="44"/>
        <v>0</v>
      </c>
      <c r="AH30" s="139">
        <f>SUM(AH31:AH34)</f>
        <v>6</v>
      </c>
      <c r="AI30" s="139">
        <f t="shared" si="44"/>
        <v>75370.420885466665</v>
      </c>
      <c r="AJ30" s="139">
        <v>6</v>
      </c>
      <c r="AK30" s="139">
        <v>52924.44</v>
      </c>
      <c r="AL30" s="139">
        <f t="shared" si="44"/>
        <v>0</v>
      </c>
      <c r="AM30" s="139">
        <f t="shared" si="44"/>
        <v>0</v>
      </c>
      <c r="AN30" s="139">
        <f t="shared" si="44"/>
        <v>0</v>
      </c>
      <c r="AO30" s="139">
        <f t="shared" si="44"/>
        <v>0</v>
      </c>
      <c r="AP30" s="139">
        <f t="shared" si="44"/>
        <v>0</v>
      </c>
      <c r="AQ30" s="139">
        <f t="shared" si="44"/>
        <v>0</v>
      </c>
      <c r="AR30" s="139">
        <f t="shared" si="44"/>
        <v>0</v>
      </c>
      <c r="AS30" s="139">
        <f t="shared" si="44"/>
        <v>0</v>
      </c>
      <c r="AT30" s="139">
        <f t="shared" si="44"/>
        <v>0</v>
      </c>
      <c r="AU30" s="139">
        <f t="shared" si="44"/>
        <v>0</v>
      </c>
      <c r="AV30" s="139">
        <f t="shared" si="44"/>
        <v>0</v>
      </c>
      <c r="AW30" s="139">
        <f t="shared" si="44"/>
        <v>0</v>
      </c>
      <c r="AX30" s="139">
        <f t="shared" si="44"/>
        <v>0</v>
      </c>
      <c r="AY30" s="139">
        <f t="shared" si="44"/>
        <v>0</v>
      </c>
      <c r="AZ30" s="139">
        <f t="shared" si="44"/>
        <v>0</v>
      </c>
      <c r="BA30" s="139">
        <f>SUM(BA31:BA34)</f>
        <v>0</v>
      </c>
      <c r="BB30" s="139">
        <f t="shared" si="44"/>
        <v>0</v>
      </c>
      <c r="BC30" s="139">
        <f>SUM(BC31:BC34)</f>
        <v>0</v>
      </c>
      <c r="BD30" s="139">
        <f t="shared" si="44"/>
        <v>26</v>
      </c>
      <c r="BE30" s="139">
        <f t="shared" si="44"/>
        <v>211130.16190933328</v>
      </c>
      <c r="BF30" s="139">
        <f t="shared" si="44"/>
        <v>52</v>
      </c>
      <c r="BG30" s="139">
        <f t="shared" si="44"/>
        <v>1393478.1669189334</v>
      </c>
      <c r="BH30" s="139">
        <f t="shared" si="44"/>
        <v>0</v>
      </c>
      <c r="BI30" s="139">
        <f>SUM(BI31:BI34)</f>
        <v>0</v>
      </c>
      <c r="BJ30" s="139">
        <f t="shared" ref="BJ30:BT30" si="45">SUM(BJ31:BJ34)</f>
        <v>0</v>
      </c>
      <c r="BK30" s="139">
        <f t="shared" si="45"/>
        <v>0</v>
      </c>
      <c r="BL30" s="139">
        <f t="shared" si="45"/>
        <v>0</v>
      </c>
      <c r="BM30" s="139">
        <f t="shared" si="45"/>
        <v>0</v>
      </c>
      <c r="BN30" s="139">
        <f t="shared" si="45"/>
        <v>0</v>
      </c>
      <c r="BO30" s="139">
        <f>SUM(BO31:BO34)</f>
        <v>0</v>
      </c>
      <c r="BP30" s="139">
        <f t="shared" si="45"/>
        <v>0</v>
      </c>
      <c r="BQ30" s="139">
        <f>SUM(BQ31:BQ34)</f>
        <v>0</v>
      </c>
      <c r="BR30" s="139">
        <f t="shared" si="45"/>
        <v>0</v>
      </c>
      <c r="BS30" s="139">
        <f>SUM(BS31:BS34)</f>
        <v>0</v>
      </c>
      <c r="BT30" s="139">
        <f t="shared" si="45"/>
        <v>0</v>
      </c>
      <c r="BU30" s="139">
        <f>SUM(BU31:BU34)</f>
        <v>0</v>
      </c>
      <c r="BV30" s="139">
        <f t="shared" ref="BV30:CQ30" si="46">SUM(BV31:BV34)</f>
        <v>9</v>
      </c>
      <c r="BW30" s="139">
        <f t="shared" si="46"/>
        <v>224095.80921493331</v>
      </c>
      <c r="BX30" s="139">
        <f t="shared" si="46"/>
        <v>12</v>
      </c>
      <c r="BY30" s="139">
        <f t="shared" si="46"/>
        <v>219073.25893200003</v>
      </c>
      <c r="BZ30" s="139">
        <f t="shared" si="46"/>
        <v>0</v>
      </c>
      <c r="CA30" s="139">
        <f t="shared" si="46"/>
        <v>0</v>
      </c>
      <c r="CB30" s="139">
        <f t="shared" si="46"/>
        <v>9</v>
      </c>
      <c r="CC30" s="139">
        <f t="shared" si="46"/>
        <v>27976.92</v>
      </c>
      <c r="CD30" s="139">
        <f t="shared" si="46"/>
        <v>12</v>
      </c>
      <c r="CE30" s="139">
        <f t="shared" si="46"/>
        <v>304488.78038333333</v>
      </c>
      <c r="CF30" s="139">
        <f t="shared" si="46"/>
        <v>20</v>
      </c>
      <c r="CG30" s="139">
        <f t="shared" si="46"/>
        <v>707490.92193266668</v>
      </c>
      <c r="CH30" s="139">
        <f t="shared" si="46"/>
        <v>2</v>
      </c>
      <c r="CI30" s="139">
        <f t="shared" si="46"/>
        <v>29563.420614933326</v>
      </c>
      <c r="CJ30" s="139">
        <f t="shared" si="46"/>
        <v>0</v>
      </c>
      <c r="CK30" s="139">
        <f t="shared" si="46"/>
        <v>0</v>
      </c>
      <c r="CL30" s="139">
        <f t="shared" si="46"/>
        <v>0</v>
      </c>
      <c r="CM30" s="139">
        <f t="shared" si="46"/>
        <v>0</v>
      </c>
      <c r="CN30" s="139">
        <f t="shared" si="46"/>
        <v>0</v>
      </c>
      <c r="CO30" s="139">
        <f t="shared" si="46"/>
        <v>0</v>
      </c>
      <c r="CP30" s="139">
        <f t="shared" si="46"/>
        <v>326</v>
      </c>
      <c r="CQ30" s="139">
        <f t="shared" si="46"/>
        <v>7410532.1997307325</v>
      </c>
    </row>
    <row r="31" spans="1:95" s="4" customFormat="1" ht="34.5" hidden="1" customHeight="1" x14ac:dyDescent="0.25">
      <c r="A31" s="56"/>
      <c r="B31" s="54">
        <v>16</v>
      </c>
      <c r="C31" s="54" t="s">
        <v>139</v>
      </c>
      <c r="D31" s="55" t="s">
        <v>140</v>
      </c>
      <c r="E31" s="110">
        <v>16026</v>
      </c>
      <c r="F31" s="110">
        <v>16828</v>
      </c>
      <c r="G31" s="54">
        <v>0.35</v>
      </c>
      <c r="H31" s="46">
        <v>0.97440000000000004</v>
      </c>
      <c r="I31" s="57">
        <v>1</v>
      </c>
      <c r="J31" s="115"/>
      <c r="K31" s="57"/>
      <c r="L31" s="97">
        <v>1.4</v>
      </c>
      <c r="M31" s="97">
        <v>1.68</v>
      </c>
      <c r="N31" s="97">
        <v>2.23</v>
      </c>
      <c r="O31" s="97">
        <v>2.57</v>
      </c>
      <c r="P31" s="36"/>
      <c r="Q31" s="48">
        <f>(P31/12*2*$E31*$G31*((1-$H31)+$H31*$L31*$I31))+(P31/12*10*$F31*$G31*((1-$H31)+$H31*$L31*$I31))</f>
        <v>0</v>
      </c>
      <c r="R31" s="37"/>
      <c r="S31" s="48">
        <f>(R31/12*2*$E31*$G31*((1-$H31)+$H31*$L31*$I31))+(R31/12*10*$F31*$G31*((1-$H31)+$H31*$L31*$I31))</f>
        <v>0</v>
      </c>
      <c r="T31" s="36"/>
      <c r="U31" s="48">
        <f>(T31/12*2*$E31*$G31*((1-$H31)+$H31*$L31*$I31))+(T31/12*10*$F31*$G31*((1-$H31)+$H31*$L31*$I31))</f>
        <v>0</v>
      </c>
      <c r="V31" s="37"/>
      <c r="W31" s="48">
        <f>(V31/12*2*$E31*$G31*((1-$H31)+$H31*$L31*$I31))+(V31/12*10*$F31*$G31*((1-$H31)+$H31*$L31*$I31))</f>
        <v>0</v>
      </c>
      <c r="X31" s="37"/>
      <c r="Y31" s="48">
        <f>(X31/12*2*$E31*$G31*((1-$H31)+$H31*$L31*$I31))+(X31/12*10*$F31*$G31*((1-$H31)+$H31*$L31*$I31))</f>
        <v>0</v>
      </c>
      <c r="Z31" s="69">
        <v>4</v>
      </c>
      <c r="AA31" s="48">
        <f>(Z31/12*2*$E31*$G31*((1-$H31)+$H31*$L31*$I31))+(Z31/12*10*$F31*$G31*((1-$H31)+$H31*$L31*$I31))</f>
        <v>32481.563370666663</v>
      </c>
      <c r="AB31" s="37"/>
      <c r="AC31" s="36"/>
      <c r="AD31" s="37"/>
      <c r="AE31" s="48">
        <f>(AD31/12*2*$E31*$G31*((1-$H31)+$H31*$L31*$I31))+(AD31/12*10*$F31*$G31*((1-$H31)+$H31*$L31*$I31))</f>
        <v>0</v>
      </c>
      <c r="AF31" s="37"/>
      <c r="AG31" s="48">
        <f>(AF31/12*2*$E31*$G31*((1-$H31)+$H31*$M31*$I31))+(AF31/12*10*$F31*$G31*((1-$H31)+$H31*$M31*$I31))</f>
        <v>0</v>
      </c>
      <c r="AH31" s="58">
        <v>5</v>
      </c>
      <c r="AI31" s="48">
        <f>(AH31/12*2*$E31*$G31*((1-$H31)+$H31*$M31*$I31))+(AH31/12*10*$F31*$G31*((1-$H31)+$H31*$M31*$I31))</f>
        <v>48572.763829333329</v>
      </c>
      <c r="AJ31" s="48">
        <v>6</v>
      </c>
      <c r="AK31" s="48">
        <v>52924.44</v>
      </c>
      <c r="AL31" s="37"/>
      <c r="AM31" s="36"/>
      <c r="AN31" s="37"/>
      <c r="AO31" s="36"/>
      <c r="AP31" s="37"/>
      <c r="AQ31" s="36"/>
      <c r="AR31" s="37"/>
      <c r="AS31" s="36"/>
      <c r="AT31" s="37"/>
      <c r="AU31" s="36"/>
      <c r="AV31" s="36"/>
      <c r="AW31" s="48"/>
      <c r="AX31" s="37"/>
      <c r="AY31" s="48"/>
      <c r="AZ31" s="37"/>
      <c r="BA31" s="48"/>
      <c r="BB31" s="37"/>
      <c r="BC31" s="48"/>
      <c r="BD31" s="36">
        <v>26</v>
      </c>
      <c r="BE31" s="48">
        <f>(BD31/12*2*$E31*$G31*((1-$H31)+$H31*$L31*$I31*BE$9))+(BD31/12*10*$F31*$G31*((1-$H31)+$H31*$L31*$I31*BE$9))</f>
        <v>211130.16190933328</v>
      </c>
      <c r="BF31" s="37"/>
      <c r="BG31" s="48">
        <f>(BF31/12*2*$E31*$G31*((1-$H31)+$H31*$M31*$I31*BG$9))+(BF31/12*10*$F31*$G31*((1-$H31)+$H31*$M31*$I31*BG$9))</f>
        <v>0</v>
      </c>
      <c r="BH31" s="36"/>
      <c r="BI31" s="48">
        <f>(BH31/12*2*$E31*$G31*((1-$H31)+$H31*$M31*$I31*BI$9))+(BH31/12*10*$F31*$G31*((1-$H31)+$H31*$M31*$I31*BI$9))</f>
        <v>0</v>
      </c>
      <c r="BJ31" s="37"/>
      <c r="BK31" s="48">
        <f>(BJ31/12*2*$E31*$G31*((1-$H31)+$H31*$M31*$I31*BK$9))+(BJ31/12*10*$F31*$G31*((1-$H31)+$H31*$M31*$I31*BK$9))</f>
        <v>0</v>
      </c>
      <c r="BL31" s="40"/>
      <c r="BM31" s="48">
        <f>(BL31/12*2*$E31*$G31*((1-$H31)+$H31*$M31*$I31*BM$9))+(BL31/12*10*$F31*$G31*((1-$H31)+$H31*$M31*$I31*BM$9))</f>
        <v>0</v>
      </c>
      <c r="BN31" s="39"/>
      <c r="BO31" s="48">
        <f>(BN31/12*10*$F31*$G31*((1-$H31)+$H31*$M31*$I31*BO$9))</f>
        <v>0</v>
      </c>
      <c r="BP31" s="59"/>
      <c r="BQ31" s="48"/>
      <c r="BR31" s="58"/>
      <c r="BS31" s="48">
        <f>(BR31/12*10*$F31*$G31*((1-$H31)+$H31*$M31*$I31*BS$9))</f>
        <v>0</v>
      </c>
      <c r="BT31" s="37"/>
      <c r="BU31" s="48">
        <f>(BT31/12*2*$E31*$G31*((1-$H31)+$H31*$M31*$I31*BU$9))+(BT31/12*10*$F31*$G31*((1-$H31)+$H31*$M31*$I31*BU$9))</f>
        <v>0</v>
      </c>
      <c r="BV31" s="36">
        <v>1</v>
      </c>
      <c r="BW31" s="48">
        <f>(BV31/12*2*$E31*$G31*((1-$H31)+$H31*$M31*$I31*BW$9))+(BV31/12*10*$F31*$G31*((1-$H31)+$H31*$M31*$I31*BW$9))</f>
        <v>9714.5527658666651</v>
      </c>
      <c r="BX31" s="58">
        <v>6</v>
      </c>
      <c r="BY31" s="48">
        <f>(BX31/12*2*$E31*$G31*((1-$H31)+$H31*$M31*$I31*BY$9))+(BX31/12*10*$F31*$G31*((1-$H31)+$H31*$M31*$I31*BY$9))</f>
        <v>58287.316595199998</v>
      </c>
      <c r="BZ31" s="40"/>
      <c r="CA31" s="48">
        <f>(BZ31/12*2*$E31*$G31*((1-$H31)+$H31*$M31*$I31*CA$9))+(BZ31/12*10*$F31*$G31*((1-$H31)+$H31*$M31*$I31*CA$9))</f>
        <v>0</v>
      </c>
      <c r="CB31" s="36">
        <v>9</v>
      </c>
      <c r="CC31" s="48">
        <v>27976.92</v>
      </c>
      <c r="CD31" s="36">
        <v>1</v>
      </c>
      <c r="CE31" s="48">
        <f>(CD31/12*2*$E31*$G31*((1-$H31)+$H31*$M31*$I31*CE$9))+(CD31/12*10*$F31*$G31*((1-$H31)+$H31*$M31*$I31*CE$9))</f>
        <v>9714.5527658666651</v>
      </c>
      <c r="CF31" s="58"/>
      <c r="CG31" s="48">
        <f>(CF31/12*2*$E31*$G31*((1-$H31)+$H31*$N31*$I31*CG$9))+(CF31/12*10*$F31*$G31*((1-$H31)+$H31*$N31*$I31*CG$9))</f>
        <v>0</v>
      </c>
      <c r="CH31" s="58">
        <v>2</v>
      </c>
      <c r="CI31" s="48">
        <f>(CH31/12*2*$E31*$G31*((1-$H31)+$H31*$O31*$I31))+(CH31/12*10*$F31*$G31*((1-$H31)+$H31*$O31*$I31))</f>
        <v>29563.420614933326</v>
      </c>
      <c r="CJ31" s="36"/>
      <c r="CK31" s="36"/>
      <c r="CL31" s="36"/>
      <c r="CM31" s="36"/>
      <c r="CN31" s="41"/>
      <c r="CO31" s="41"/>
      <c r="CP31" s="42">
        <f t="shared" ref="CP31:CQ34" si="47">SUM(R31+P31+T31+V31+AB31+Z31+X31+AF31+AD31+AH31+AJ31+BF31+BJ31+AL31+AT31+AV31+BT31+BV31+BR31+BX31+BZ31+BN31+AN31+AP31+AR31+BH31+BL31+AX31+AZ31+BB31+BD31+BP31+CB31+CD31+CF31+CH31+CJ31+CL31)</f>
        <v>60</v>
      </c>
      <c r="CQ31" s="42">
        <f t="shared" si="47"/>
        <v>480365.6918511999</v>
      </c>
    </row>
    <row r="32" spans="1:95" s="4" customFormat="1" ht="45" hidden="1" customHeight="1" x14ac:dyDescent="0.25">
      <c r="A32" s="56"/>
      <c r="B32" s="54">
        <v>17</v>
      </c>
      <c r="C32" s="54" t="s">
        <v>141</v>
      </c>
      <c r="D32" s="55" t="s">
        <v>142</v>
      </c>
      <c r="E32" s="110">
        <v>16026</v>
      </c>
      <c r="F32" s="110">
        <v>16828</v>
      </c>
      <c r="G32" s="54">
        <v>0.97</v>
      </c>
      <c r="H32" s="46">
        <v>0.96299999999999997</v>
      </c>
      <c r="I32" s="57">
        <v>1</v>
      </c>
      <c r="J32" s="115"/>
      <c r="K32" s="57"/>
      <c r="L32" s="97">
        <v>1.4</v>
      </c>
      <c r="M32" s="97">
        <v>1.68</v>
      </c>
      <c r="N32" s="97">
        <v>2.23</v>
      </c>
      <c r="O32" s="97">
        <v>2.57</v>
      </c>
      <c r="P32" s="36"/>
      <c r="Q32" s="48">
        <f>(P32/12*2*$E32*$G32*((1-$H32)+$H32*$L32*$I32))+(P32/12*10*$F32*$G32*((1-$H32)+$H32*$L32*$I32))</f>
        <v>0</v>
      </c>
      <c r="R32" s="37"/>
      <c r="S32" s="48">
        <f>(R32/12*2*$E32*$G32*((1-$H32)+$H32*$L32*$I32))+(R32/12*10*$F32*$G32*((1-$H32)+$H32*$L32*$I32))</f>
        <v>0</v>
      </c>
      <c r="T32" s="36"/>
      <c r="U32" s="48">
        <f>(T32/12*2*$E32*$G32*((1-$H32)+$H32*$L32*$I32))+(T32/12*10*$F32*$G32*((1-$H32)+$H32*$L32*$I32))</f>
        <v>0</v>
      </c>
      <c r="V32" s="37"/>
      <c r="W32" s="48">
        <f>(V32/12*2*$E32*$G32*((1-$H32)+$H32*$L32*$I32))+(V32/12*10*$F32*$G32*((1-$H32)+$H32*$L32*$I32))</f>
        <v>0</v>
      </c>
      <c r="X32" s="37"/>
      <c r="Y32" s="48">
        <f>(X32/12*2*$E32*$G32*((1-$H32)+$H32*$L32*$I32))+(X32/12*10*$F32*$G32*((1-$H32)+$H32*$L32*$I32))</f>
        <v>0</v>
      </c>
      <c r="Z32" s="69">
        <v>1</v>
      </c>
      <c r="AA32" s="48">
        <f>(Z32/12*2*$E32*$G32*((1-$H32)+$H32*$L32*$I32))+(Z32/12*10*$F32*$G32*((1-$H32)+$H32*$L32*$I32))</f>
        <v>22431.240817333324</v>
      </c>
      <c r="AB32" s="37"/>
      <c r="AC32" s="36"/>
      <c r="AD32" s="37"/>
      <c r="AE32" s="48">
        <f>(AD32/12*2*$E32*$G32*((1-$H32)+$H32*$L32*$I32))+(AD32/12*10*$F32*$G32*((1-$H32)+$H32*$L32*$I32))</f>
        <v>0</v>
      </c>
      <c r="AF32" s="37"/>
      <c r="AG32" s="48">
        <f>(AF32/12*2*$E32*$G32*((1-$H32)+$H32*$M32*$I32))+(AF32/12*10*$F32*$G32*((1-$H32)+$H32*$M32*$I32))</f>
        <v>0</v>
      </c>
      <c r="AH32" s="58">
        <v>1</v>
      </c>
      <c r="AI32" s="48">
        <f>(AH32/12*2*$E32*$G32*((1-$H32)+$H32*$M32*$I32))+(AH32/12*10*$F32*$G32*((1-$H32)+$H32*$M32*$I32))</f>
        <v>26797.657056133332</v>
      </c>
      <c r="AJ32" s="48">
        <v>0</v>
      </c>
      <c r="AK32" s="48">
        <v>0</v>
      </c>
      <c r="AL32" s="37"/>
      <c r="AM32" s="36"/>
      <c r="AN32" s="37"/>
      <c r="AO32" s="36"/>
      <c r="AP32" s="37"/>
      <c r="AQ32" s="36"/>
      <c r="AR32" s="37"/>
      <c r="AS32" s="36"/>
      <c r="AT32" s="37"/>
      <c r="AU32" s="36"/>
      <c r="AV32" s="36"/>
      <c r="AW32" s="48"/>
      <c r="AX32" s="37"/>
      <c r="AY32" s="48"/>
      <c r="AZ32" s="37"/>
      <c r="BA32" s="48"/>
      <c r="BB32" s="36"/>
      <c r="BC32" s="48"/>
      <c r="BD32" s="36">
        <v>0</v>
      </c>
      <c r="BE32" s="48">
        <f>(BD32/12*2*$E32*$G32*((1-$H32)+$H32*$L32*$I32*BE$9))+(BD32/12*10*$F32*$G32*((1-$H32)+$H32*$L32*$I32*BE$9))</f>
        <v>0</v>
      </c>
      <c r="BF32" s="36">
        <v>52</v>
      </c>
      <c r="BG32" s="48">
        <f>(BF32/12*2*$E32*$G32*((1-$H32)+$H32*$M32*$I32*BG$9))+(BF32/12*10*$F32*$G32*((1-$H32)+$H32*$M32*$I32*BG$9))</f>
        <v>1393478.1669189334</v>
      </c>
      <c r="BH32" s="36"/>
      <c r="BI32" s="48">
        <f>(BH32/12*2*$E32*$G32*((1-$H32)+$H32*$M32*$I32*BI$9))+(BH32/12*10*$F32*$G32*((1-$H32)+$H32*$M32*$I32*BI$9))</f>
        <v>0</v>
      </c>
      <c r="BJ32" s="37"/>
      <c r="BK32" s="48">
        <f>(BJ32/12*2*$E32*$G32*((1-$H32)+$H32*$M32*$I32*BK$9))+(BJ32/12*10*$F32*$G32*((1-$H32)+$H32*$M32*$I32*BK$9))</f>
        <v>0</v>
      </c>
      <c r="BL32" s="40"/>
      <c r="BM32" s="48">
        <f>(BL32/12*2*$E32*$G32*((1-$H32)+$H32*$M32*$I32*BM$9))+(BL32/12*10*$F32*$G32*((1-$H32)+$H32*$M32*$I32*BM$9))</f>
        <v>0</v>
      </c>
      <c r="BN32" s="39"/>
      <c r="BO32" s="48">
        <f>(BN32/12*10*$F32*$G32*((1-$H32)+$H32*$M32*$I32*BO$9))</f>
        <v>0</v>
      </c>
      <c r="BP32" s="59"/>
      <c r="BQ32" s="48"/>
      <c r="BR32" s="58"/>
      <c r="BS32" s="48">
        <f>(BR32/12*10*$F32*$G32*((1-$H32)+$H32*$M32*$I32*BS$9))</f>
        <v>0</v>
      </c>
      <c r="BT32" s="37"/>
      <c r="BU32" s="48">
        <f>(BT32/12*2*$E32*$G32*((1-$H32)+$H32*$M32*$I32*BU$9))+(BT32/12*10*$F32*$G32*((1-$H32)+$H32*$M32*$I32*BU$9))</f>
        <v>0</v>
      </c>
      <c r="BV32" s="36">
        <v>8</v>
      </c>
      <c r="BW32" s="48">
        <f>(BV32/12*2*$E32*$G32*((1-$H32)+$H32*$M32*$I32*BW$9))+(BV32/12*10*$F32*$G32*((1-$H32)+$H32*$M32*$I32*BW$9))</f>
        <v>214381.25644906666</v>
      </c>
      <c r="BX32" s="58">
        <v>6</v>
      </c>
      <c r="BY32" s="48">
        <f>(BX32/12*2*$E32*$G32*((1-$H32)+$H32*$M32*$I32*BY$9))+(BX32/12*10*$F32*$G32*((1-$H32)+$H32*$M32*$I32*BY$9))</f>
        <v>160785.94233680001</v>
      </c>
      <c r="BZ32" s="40"/>
      <c r="CA32" s="48">
        <f>(BZ32/12*2*$E32*$G32*((1-$H32)+$H32*$M32*$I32*CA$9))+(BZ32/12*10*$F32*$G32*((1-$H32)+$H32*$M32*$I32*CA$9))</f>
        <v>0</v>
      </c>
      <c r="CB32" s="36"/>
      <c r="CC32" s="48">
        <f>(CB32/12*2*$E32*$G32*((1-$H32)+$H32*$M32*$I32*CC$9))+(CB32/12*10*$F32*$G32*((1-$H32)+$H32*$M32*$I32*CC$9))</f>
        <v>0</v>
      </c>
      <c r="CD32" s="36">
        <v>11</v>
      </c>
      <c r="CE32" s="48">
        <f>(CD32/12*2*$E32*$G32*((1-$H32)+$H32*$M32*$I32*CE$9))+(CD32/12*10*$F32*$G32*((1-$H32)+$H32*$M32*$I32*CE$9))</f>
        <v>294774.22761746665</v>
      </c>
      <c r="CF32" s="58">
        <v>20</v>
      </c>
      <c r="CG32" s="48">
        <f>(CF32/12*2*$E32*$G32*((1-$H32)+$H32*$N32*$I32*CG$9))+(CF32/12*10*$F32*$G32*((1-$H32)+$H32*$N32*$I32*CG$9))</f>
        <v>707490.92193266668</v>
      </c>
      <c r="CH32" s="58"/>
      <c r="CI32" s="48">
        <f>(CH32/12*2*$E32*$G32*((1-$H32)+$H32*$O32*$I32))+(CH32/12*10*$F32*$G32*((1-$H32)+$H32*$O32*$I32))</f>
        <v>0</v>
      </c>
      <c r="CJ32" s="36"/>
      <c r="CK32" s="36"/>
      <c r="CL32" s="36"/>
      <c r="CM32" s="36"/>
      <c r="CN32" s="41"/>
      <c r="CO32" s="41"/>
      <c r="CP32" s="42">
        <f t="shared" si="47"/>
        <v>99</v>
      </c>
      <c r="CQ32" s="42">
        <f t="shared" si="47"/>
        <v>2820139.4131283998</v>
      </c>
    </row>
    <row r="33" spans="1:95" s="4" customFormat="1" ht="30" hidden="1" customHeight="1" x14ac:dyDescent="0.25">
      <c r="A33" s="56"/>
      <c r="B33" s="54">
        <v>18</v>
      </c>
      <c r="C33" s="54" t="s">
        <v>143</v>
      </c>
      <c r="D33" s="55" t="s">
        <v>144</v>
      </c>
      <c r="E33" s="110">
        <v>16026</v>
      </c>
      <c r="F33" s="110">
        <v>16828</v>
      </c>
      <c r="G33" s="54">
        <v>0.97</v>
      </c>
      <c r="H33" s="46">
        <v>0.98270000000000002</v>
      </c>
      <c r="I33" s="57">
        <v>1</v>
      </c>
      <c r="J33" s="47">
        <v>0.95</v>
      </c>
      <c r="K33" s="57"/>
      <c r="L33" s="97">
        <v>1.4</v>
      </c>
      <c r="M33" s="97">
        <v>1.68</v>
      </c>
      <c r="N33" s="97">
        <v>2.23</v>
      </c>
      <c r="O33" s="97">
        <v>2.57</v>
      </c>
      <c r="P33" s="36"/>
      <c r="Q33" s="48">
        <f>(P33/12*2*$E33*$G33*((1-$H33)+$H33*$L33*$I33))+(P33/12*10*$F33*$G33*((1-$H33)+$H33*$L33*$I33))</f>
        <v>0</v>
      </c>
      <c r="R33" s="37"/>
      <c r="S33" s="48">
        <f>(R33/12*2*$E33*$G33*((1-$H33)+$H33*$L33*$I33))+(R33/12*10*$F33*$G33*((1-$H33)+$H33*$L33*$I33))</f>
        <v>0</v>
      </c>
      <c r="T33" s="36"/>
      <c r="U33" s="48">
        <f>(T33/12*2*$E33*$G33*((1-$H33)+$H33*$L33*$I33))+(T33/12*10*$F33*$G33*((1-$H33)+$H33*$L33*$I33))</f>
        <v>0</v>
      </c>
      <c r="V33" s="37"/>
      <c r="W33" s="48">
        <f>(V33/12*2*$E33*$G33*((1-$H33)+$H33*$L33*$I33))+(V33/12*10*$F33*$G33*((1-$H33)+$H33*$L33*$I33))</f>
        <v>0</v>
      </c>
      <c r="X33" s="37"/>
      <c r="Y33" s="48">
        <f>(X33/12*2*$E33*$G33*((1-$H33)+$H33*$L33*$I33))+(X33/12*10*$F33*$G33*((1-$H33)+$H33*$L33*$J33))</f>
        <v>0</v>
      </c>
      <c r="Z33" s="69">
        <v>142</v>
      </c>
      <c r="AA33" s="48">
        <f>(Z33/12*2*$E33*$G33*((1-$H33)+$H33*$L33*$I33))+(Z33/12*10*$F33*$G33*((1-$H33)+$H33*$L33*$J33))</f>
        <v>3070485.0392511333</v>
      </c>
      <c r="AB33" s="37"/>
      <c r="AC33" s="36"/>
      <c r="AD33" s="37"/>
      <c r="AE33" s="48">
        <f>(AD33/12*2*$E33*$G33*((1-$H33)+$H33*$L33*$I33))+(AD33/12*10*$F33*$G33*((1-$H33)+$H33*$L33*$J33))</f>
        <v>0</v>
      </c>
      <c r="AF33" s="37"/>
      <c r="AG33" s="48">
        <f>(AF33/12*2*$E33*$G33*((1-$H33)+$H33*$M33*$I33))+(AF33/12*10*$F33*$G33*((1-$H33)+$H33*$M33*$J33))</f>
        <v>0</v>
      </c>
      <c r="AH33" s="58"/>
      <c r="AI33" s="48">
        <f>(AH33/12*2*$E33*$G33*((1-$H33)+$H33*$M33*$I33))+(AH33/12*10*$F33*$G33*((1-$H33)+$H33*$M33*$J33))</f>
        <v>0</v>
      </c>
      <c r="AJ33" s="48">
        <v>0</v>
      </c>
      <c r="AK33" s="48">
        <v>0</v>
      </c>
      <c r="AL33" s="37"/>
      <c r="AM33" s="36"/>
      <c r="AN33" s="37"/>
      <c r="AO33" s="36"/>
      <c r="AP33" s="37"/>
      <c r="AQ33" s="36"/>
      <c r="AR33" s="37"/>
      <c r="AS33" s="36"/>
      <c r="AT33" s="37"/>
      <c r="AU33" s="36"/>
      <c r="AV33" s="36"/>
      <c r="AW33" s="48"/>
      <c r="AX33" s="37"/>
      <c r="AY33" s="48"/>
      <c r="AZ33" s="37"/>
      <c r="BA33" s="48"/>
      <c r="BB33" s="37"/>
      <c r="BC33" s="48"/>
      <c r="BD33" s="36"/>
      <c r="BE33" s="48"/>
      <c r="BF33" s="36"/>
      <c r="BG33" s="48"/>
      <c r="BH33" s="36"/>
      <c r="BI33" s="48"/>
      <c r="BJ33" s="37"/>
      <c r="BK33" s="48"/>
      <c r="BL33" s="40"/>
      <c r="BM33" s="48"/>
      <c r="BN33" s="39"/>
      <c r="BO33" s="48"/>
      <c r="BP33" s="59"/>
      <c r="BQ33" s="48"/>
      <c r="BR33" s="58"/>
      <c r="BS33" s="48"/>
      <c r="BT33" s="37"/>
      <c r="BU33" s="48"/>
      <c r="BV33" s="36"/>
      <c r="BW33" s="48"/>
      <c r="BX33" s="58"/>
      <c r="BY33" s="48"/>
      <c r="BZ33" s="40"/>
      <c r="CA33" s="48"/>
      <c r="CB33" s="36"/>
      <c r="CC33" s="48"/>
      <c r="CD33" s="36"/>
      <c r="CE33" s="48"/>
      <c r="CF33" s="58"/>
      <c r="CG33" s="48"/>
      <c r="CH33" s="58"/>
      <c r="CI33" s="48"/>
      <c r="CJ33" s="36"/>
      <c r="CK33" s="36"/>
      <c r="CL33" s="36"/>
      <c r="CM33" s="36"/>
      <c r="CN33" s="41"/>
      <c r="CO33" s="41"/>
      <c r="CP33" s="42">
        <f t="shared" si="47"/>
        <v>142</v>
      </c>
      <c r="CQ33" s="42">
        <f t="shared" si="47"/>
        <v>3070485.0392511333</v>
      </c>
    </row>
    <row r="34" spans="1:95" s="4" customFormat="1" ht="30" hidden="1" customHeight="1" x14ac:dyDescent="0.25">
      <c r="A34" s="56"/>
      <c r="B34" s="54">
        <v>19</v>
      </c>
      <c r="C34" s="54" t="s">
        <v>145</v>
      </c>
      <c r="D34" s="55" t="s">
        <v>146</v>
      </c>
      <c r="E34" s="110">
        <v>16026</v>
      </c>
      <c r="F34" s="110">
        <v>16828</v>
      </c>
      <c r="G34" s="54">
        <v>1.95</v>
      </c>
      <c r="H34" s="46">
        <v>0.98199999999999998</v>
      </c>
      <c r="I34" s="57">
        <v>1</v>
      </c>
      <c r="J34" s="47">
        <v>0.9</v>
      </c>
      <c r="K34" s="57"/>
      <c r="L34" s="97">
        <v>1.4</v>
      </c>
      <c r="M34" s="97">
        <v>1.68</v>
      </c>
      <c r="N34" s="97">
        <v>2.23</v>
      </c>
      <c r="O34" s="97">
        <v>2.57</v>
      </c>
      <c r="P34" s="36"/>
      <c r="Q34" s="48">
        <f>(P34/12*2*$E34*$G34*((1-$H34)+$H34*$L34*$I34))+(P34/12*10*$F34*$G34*((1-$H34)+$H34*$L34*$I34))</f>
        <v>0</v>
      </c>
      <c r="R34" s="37"/>
      <c r="S34" s="48">
        <f>(R34/12*2*$E34*$G34*((1-$H34)+$H34*$L34*$I34))+(R34/12*10*$F34*$G34*((1-$H34)+$H34*$L34*$I34))</f>
        <v>0</v>
      </c>
      <c r="T34" s="36"/>
      <c r="U34" s="48">
        <f>(T34/12*2*$E34*$G34*((1-$H34)+$H34*$L34*$I34))+(T34/12*10*$F34*$G34*((1-$H34)+$H34*$L34*$I34))</f>
        <v>0</v>
      </c>
      <c r="V34" s="37"/>
      <c r="W34" s="48">
        <f>(V34/12*2*$E34*$G34*((1-$H34)+$H34*$L34*$I34))+(V34/12*10*$F34*$G34*((1-$H34)+$H34*$L34*$I34))</f>
        <v>0</v>
      </c>
      <c r="X34" s="37"/>
      <c r="Y34" s="48">
        <f>(X34/12*2*$E34*$G34*((1-$H34)+$H34*$L34*$I34))+(X34/12*10*$F34*$G34*((1-$H34)+$H34*$L34*$J34))</f>
        <v>0</v>
      </c>
      <c r="Z34" s="69">
        <v>25</v>
      </c>
      <c r="AA34" s="48">
        <f>(Z34/12*2*$E34*$G34*((1-$H34)+$H34*$L34*$I34))+(Z34/12*10*$F34*$G34*((1-$H34)+$H34*$L34*$J34))</f>
        <v>1039542.0554999999</v>
      </c>
      <c r="AB34" s="37"/>
      <c r="AC34" s="36"/>
      <c r="AD34" s="37"/>
      <c r="AE34" s="48">
        <f>(AD34/12*2*$E34*$G34*((1-$H34)+$H34*$L34*$I34))+(AD34/12*10*$F34*$G34*((1-$H34)+$H34*$L34*$J34))</f>
        <v>0</v>
      </c>
      <c r="AF34" s="37"/>
      <c r="AG34" s="48">
        <f>(AF34/12*2*$E34*$G34*((1-$H34)+$H34*$M34*$I34))+(AF34/12*10*$F34*$G34*((1-$H34)+$H34*$M34*$J34))</f>
        <v>0</v>
      </c>
      <c r="AH34" s="58"/>
      <c r="AI34" s="48">
        <f>(AH34/12*2*$E34*$G34*((1-$H34)+$H34*$M34*$I34))+(AH34/12*10*$F34*$G34*((1-$H34)+$H34*$M34*$J34))</f>
        <v>0</v>
      </c>
      <c r="AJ34" s="48">
        <v>0</v>
      </c>
      <c r="AK34" s="48">
        <v>0</v>
      </c>
      <c r="AL34" s="37"/>
      <c r="AM34" s="36"/>
      <c r="AN34" s="37"/>
      <c r="AO34" s="36"/>
      <c r="AP34" s="37"/>
      <c r="AQ34" s="36"/>
      <c r="AR34" s="37"/>
      <c r="AS34" s="36"/>
      <c r="AT34" s="37"/>
      <c r="AU34" s="36"/>
      <c r="AV34" s="36"/>
      <c r="AW34" s="48"/>
      <c r="AX34" s="37"/>
      <c r="AY34" s="48"/>
      <c r="AZ34" s="37"/>
      <c r="BA34" s="48"/>
      <c r="BB34" s="37"/>
      <c r="BC34" s="48"/>
      <c r="BD34" s="36"/>
      <c r="BE34" s="48"/>
      <c r="BF34" s="36"/>
      <c r="BG34" s="48"/>
      <c r="BH34" s="36"/>
      <c r="BI34" s="48"/>
      <c r="BJ34" s="37"/>
      <c r="BK34" s="48"/>
      <c r="BL34" s="40"/>
      <c r="BM34" s="48"/>
      <c r="BN34" s="39"/>
      <c r="BO34" s="48"/>
      <c r="BP34" s="59"/>
      <c r="BQ34" s="48"/>
      <c r="BR34" s="58"/>
      <c r="BS34" s="48"/>
      <c r="BT34" s="37"/>
      <c r="BU34" s="48"/>
      <c r="BV34" s="36"/>
      <c r="BW34" s="48"/>
      <c r="BX34" s="58"/>
      <c r="BY34" s="48"/>
      <c r="BZ34" s="40"/>
      <c r="CA34" s="48"/>
      <c r="CB34" s="36"/>
      <c r="CC34" s="48"/>
      <c r="CD34" s="36"/>
      <c r="CE34" s="48"/>
      <c r="CF34" s="58"/>
      <c r="CG34" s="48"/>
      <c r="CH34" s="58"/>
      <c r="CI34" s="48"/>
      <c r="CJ34" s="36"/>
      <c r="CK34" s="36"/>
      <c r="CL34" s="36"/>
      <c r="CM34" s="36"/>
      <c r="CN34" s="41"/>
      <c r="CO34" s="41"/>
      <c r="CP34" s="42">
        <f t="shared" si="47"/>
        <v>25</v>
      </c>
      <c r="CQ34" s="42">
        <f t="shared" si="47"/>
        <v>1039542.0554999999</v>
      </c>
    </row>
    <row r="35" spans="1:95" s="61" customFormat="1" ht="18.75" hidden="1" customHeight="1" x14ac:dyDescent="0.25">
      <c r="A35" s="140">
        <v>7</v>
      </c>
      <c r="B35" s="140"/>
      <c r="C35" s="125" t="s">
        <v>147</v>
      </c>
      <c r="D35" s="126" t="s">
        <v>148</v>
      </c>
      <c r="E35" s="110">
        <v>16026</v>
      </c>
      <c r="F35" s="134">
        <v>16828</v>
      </c>
      <c r="G35" s="138">
        <v>0.98</v>
      </c>
      <c r="H35" s="136"/>
      <c r="I35" s="128"/>
      <c r="J35" s="129"/>
      <c r="K35" s="29"/>
      <c r="L35" s="97">
        <v>1.4</v>
      </c>
      <c r="M35" s="97">
        <v>1.68</v>
      </c>
      <c r="N35" s="97">
        <v>2.23</v>
      </c>
      <c r="O35" s="97">
        <v>2.57</v>
      </c>
      <c r="P35" s="139">
        <f>P36</f>
        <v>0</v>
      </c>
      <c r="Q35" s="139">
        <f t="shared" ref="Q35:CB35" si="48">Q36</f>
        <v>0</v>
      </c>
      <c r="R35" s="139">
        <f t="shared" si="48"/>
        <v>0</v>
      </c>
      <c r="S35" s="139">
        <f t="shared" si="48"/>
        <v>0</v>
      </c>
      <c r="T35" s="139">
        <f t="shared" si="48"/>
        <v>0</v>
      </c>
      <c r="U35" s="139">
        <f t="shared" si="48"/>
        <v>0</v>
      </c>
      <c r="V35" s="139">
        <f t="shared" si="48"/>
        <v>0</v>
      </c>
      <c r="W35" s="139">
        <f t="shared" si="48"/>
        <v>0</v>
      </c>
      <c r="X35" s="139">
        <f t="shared" si="48"/>
        <v>0</v>
      </c>
      <c r="Y35" s="139">
        <f t="shared" si="48"/>
        <v>0</v>
      </c>
      <c r="Z35" s="139">
        <f t="shared" si="48"/>
        <v>0</v>
      </c>
      <c r="AA35" s="139">
        <f t="shared" si="48"/>
        <v>0</v>
      </c>
      <c r="AB35" s="139">
        <f t="shared" si="48"/>
        <v>0</v>
      </c>
      <c r="AC35" s="139">
        <f t="shared" si="48"/>
        <v>0</v>
      </c>
      <c r="AD35" s="139">
        <f t="shared" si="48"/>
        <v>0</v>
      </c>
      <c r="AE35" s="139">
        <f t="shared" si="48"/>
        <v>0</v>
      </c>
      <c r="AF35" s="139">
        <f t="shared" si="48"/>
        <v>0</v>
      </c>
      <c r="AG35" s="139">
        <f t="shared" si="48"/>
        <v>0</v>
      </c>
      <c r="AH35" s="139">
        <f>AH36</f>
        <v>0</v>
      </c>
      <c r="AI35" s="139">
        <f t="shared" si="48"/>
        <v>0</v>
      </c>
      <c r="AJ35" s="139">
        <v>0</v>
      </c>
      <c r="AK35" s="139">
        <v>0</v>
      </c>
      <c r="AL35" s="139">
        <f t="shared" si="48"/>
        <v>0</v>
      </c>
      <c r="AM35" s="139">
        <f t="shared" si="48"/>
        <v>0</v>
      </c>
      <c r="AN35" s="139">
        <f t="shared" si="48"/>
        <v>0</v>
      </c>
      <c r="AO35" s="139">
        <f t="shared" si="48"/>
        <v>0</v>
      </c>
      <c r="AP35" s="139">
        <f t="shared" si="48"/>
        <v>0</v>
      </c>
      <c r="AQ35" s="139">
        <f t="shared" si="48"/>
        <v>0</v>
      </c>
      <c r="AR35" s="139">
        <f t="shared" si="48"/>
        <v>0</v>
      </c>
      <c r="AS35" s="139">
        <f t="shared" si="48"/>
        <v>0</v>
      </c>
      <c r="AT35" s="139">
        <f t="shared" si="48"/>
        <v>0</v>
      </c>
      <c r="AU35" s="139">
        <f t="shared" si="48"/>
        <v>0</v>
      </c>
      <c r="AV35" s="139">
        <f t="shared" si="48"/>
        <v>0</v>
      </c>
      <c r="AW35" s="139">
        <f t="shared" si="48"/>
        <v>0</v>
      </c>
      <c r="AX35" s="139">
        <f t="shared" si="48"/>
        <v>0</v>
      </c>
      <c r="AY35" s="139">
        <f t="shared" si="48"/>
        <v>0</v>
      </c>
      <c r="AZ35" s="139">
        <f t="shared" si="48"/>
        <v>0</v>
      </c>
      <c r="BA35" s="139">
        <f t="shared" si="48"/>
        <v>0</v>
      </c>
      <c r="BB35" s="139">
        <f t="shared" si="48"/>
        <v>0</v>
      </c>
      <c r="BC35" s="139">
        <f t="shared" si="48"/>
        <v>0</v>
      </c>
      <c r="BD35" s="139">
        <f t="shared" si="48"/>
        <v>0</v>
      </c>
      <c r="BE35" s="139">
        <f t="shared" si="48"/>
        <v>0</v>
      </c>
      <c r="BF35" s="139">
        <f t="shared" si="48"/>
        <v>0</v>
      </c>
      <c r="BG35" s="139">
        <f t="shared" si="48"/>
        <v>0</v>
      </c>
      <c r="BH35" s="139">
        <f t="shared" si="48"/>
        <v>0</v>
      </c>
      <c r="BI35" s="139">
        <f t="shared" si="48"/>
        <v>0</v>
      </c>
      <c r="BJ35" s="139">
        <f t="shared" si="48"/>
        <v>0</v>
      </c>
      <c r="BK35" s="139">
        <f t="shared" si="48"/>
        <v>0</v>
      </c>
      <c r="BL35" s="139">
        <f t="shared" si="48"/>
        <v>0</v>
      </c>
      <c r="BM35" s="139">
        <f t="shared" si="48"/>
        <v>0</v>
      </c>
      <c r="BN35" s="139">
        <f t="shared" si="48"/>
        <v>0</v>
      </c>
      <c r="BO35" s="139">
        <f t="shared" si="48"/>
        <v>0</v>
      </c>
      <c r="BP35" s="139">
        <f t="shared" si="48"/>
        <v>0</v>
      </c>
      <c r="BQ35" s="139">
        <f t="shared" si="48"/>
        <v>0</v>
      </c>
      <c r="BR35" s="139">
        <f t="shared" si="48"/>
        <v>0</v>
      </c>
      <c r="BS35" s="139">
        <f t="shared" si="48"/>
        <v>0</v>
      </c>
      <c r="BT35" s="139">
        <f t="shared" si="48"/>
        <v>0</v>
      </c>
      <c r="BU35" s="139">
        <f t="shared" si="48"/>
        <v>0</v>
      </c>
      <c r="BV35" s="139">
        <f t="shared" si="48"/>
        <v>4</v>
      </c>
      <c r="BW35" s="139">
        <f t="shared" si="48"/>
        <v>109942.20159999999</v>
      </c>
      <c r="BX35" s="139">
        <f t="shared" si="48"/>
        <v>0</v>
      </c>
      <c r="BY35" s="139">
        <f t="shared" si="48"/>
        <v>0</v>
      </c>
      <c r="BZ35" s="139">
        <f t="shared" si="48"/>
        <v>0</v>
      </c>
      <c r="CA35" s="139">
        <f t="shared" si="48"/>
        <v>0</v>
      </c>
      <c r="CB35" s="139">
        <f t="shared" si="48"/>
        <v>0</v>
      </c>
      <c r="CC35" s="139">
        <f t="shared" ref="CC35:CQ35" si="49">CC36</f>
        <v>0</v>
      </c>
      <c r="CD35" s="139">
        <f t="shared" si="49"/>
        <v>0</v>
      </c>
      <c r="CE35" s="139">
        <f t="shared" si="49"/>
        <v>0</v>
      </c>
      <c r="CF35" s="139">
        <f t="shared" si="49"/>
        <v>0</v>
      </c>
      <c r="CG35" s="139">
        <f t="shared" si="49"/>
        <v>0</v>
      </c>
      <c r="CH35" s="139">
        <f t="shared" si="49"/>
        <v>0</v>
      </c>
      <c r="CI35" s="139">
        <f t="shared" si="49"/>
        <v>0</v>
      </c>
      <c r="CJ35" s="139">
        <f t="shared" si="49"/>
        <v>0</v>
      </c>
      <c r="CK35" s="139">
        <f t="shared" si="49"/>
        <v>0</v>
      </c>
      <c r="CL35" s="139">
        <f t="shared" si="49"/>
        <v>0</v>
      </c>
      <c r="CM35" s="139">
        <f t="shared" si="49"/>
        <v>0</v>
      </c>
      <c r="CN35" s="139">
        <f t="shared" si="49"/>
        <v>0</v>
      </c>
      <c r="CO35" s="139">
        <f t="shared" si="49"/>
        <v>0</v>
      </c>
      <c r="CP35" s="139">
        <f t="shared" si="49"/>
        <v>4</v>
      </c>
      <c r="CQ35" s="139">
        <f t="shared" si="49"/>
        <v>109942.20159999999</v>
      </c>
    </row>
    <row r="36" spans="1:95" s="4" customFormat="1" ht="18.75" hidden="1" customHeight="1" x14ac:dyDescent="0.25">
      <c r="A36" s="56"/>
      <c r="B36" s="56">
        <v>20</v>
      </c>
      <c r="C36" s="55" t="s">
        <v>149</v>
      </c>
      <c r="D36" s="64" t="s">
        <v>150</v>
      </c>
      <c r="E36" s="110">
        <v>16026</v>
      </c>
      <c r="F36" s="110">
        <v>16828</v>
      </c>
      <c r="G36" s="33">
        <v>0.98</v>
      </c>
      <c r="H36" s="34"/>
      <c r="I36" s="57">
        <v>1</v>
      </c>
      <c r="J36" s="115"/>
      <c r="K36" s="57"/>
      <c r="L36" s="97">
        <v>1.4</v>
      </c>
      <c r="M36" s="97">
        <v>1.68</v>
      </c>
      <c r="N36" s="97">
        <v>2.23</v>
      </c>
      <c r="O36" s="97">
        <v>2.57</v>
      </c>
      <c r="P36" s="36"/>
      <c r="Q36" s="36">
        <f>SUM(P36/12*2*$E36*$G36*$I36*$L36*$Q$9)+(P36/12*10*$F36*$G36*$I36*$L36*$Q$9)</f>
        <v>0</v>
      </c>
      <c r="R36" s="37"/>
      <c r="S36" s="36">
        <f>SUM(R36/12*2*$E36*$G36*$I36*$L36*S$9)+(R36/12*10*$F36*$G36*$I36*$L36*S$9)</f>
        <v>0</v>
      </c>
      <c r="T36" s="36">
        <v>0</v>
      </c>
      <c r="U36" s="36">
        <f>SUM(T36/12*2*$E36*$G36*$I36*$L36*U$9)+(T36/12*10*$F36*$G36*$I36*$L36*U$9)</f>
        <v>0</v>
      </c>
      <c r="V36" s="37"/>
      <c r="W36" s="36">
        <f>SUM(V36/12*2*$E36*$G36*$I36*$L36*$W$9)+(V36/12*10*$F36*$G36*$I36*$L36*$W$9)</f>
        <v>0</v>
      </c>
      <c r="X36" s="37"/>
      <c r="Y36" s="38">
        <f>SUM(X36/12*2*$E36*$G36*$I36*$L36*Y$9)+(X36/12*10*$F36*$G36*$I36*$L36*Y$9)</f>
        <v>0</v>
      </c>
      <c r="Z36" s="37"/>
      <c r="AA36" s="36"/>
      <c r="AB36" s="37">
        <v>0</v>
      </c>
      <c r="AC36" s="36">
        <f>(AB36/12*2*$E36*$G36*$I36*$L36)+(AB36/12*10*$F36*$G36*$I36*$L36)</f>
        <v>0</v>
      </c>
      <c r="AD36" s="37">
        <v>0</v>
      </c>
      <c r="AE36" s="36">
        <f>(AD36/12*2*$E36*$G36*$I36*$L36*AE$9)+(AD36/12*10*$F36*$G36*$I36*$L36*AE$9)</f>
        <v>0</v>
      </c>
      <c r="AF36" s="37">
        <v>0</v>
      </c>
      <c r="AG36" s="36">
        <f>(AF36/12*2*$E36*$G36*$I36*$M36*AG$9)+(AF36/12*10*$F36*$G36*$I36*$M36*AG$9)</f>
        <v>0</v>
      </c>
      <c r="AH36" s="37"/>
      <c r="AI36" s="36">
        <f>(AH36/12*2*$E36*$G36*$I36*$M36*$AI$9)+(AH36/12*10*$F36*$G36*$I36*$M36*$AI$9)</f>
        <v>0</v>
      </c>
      <c r="AJ36" s="36">
        <v>0</v>
      </c>
      <c r="AK36" s="36">
        <v>0</v>
      </c>
      <c r="AL36" s="37"/>
      <c r="AM36" s="36">
        <f>SUM(AL36/12*2*$E36*$G36*$I36*$L36*AM$9)+(AL36/12*10*$F36*$G36*$I36*$L36*AM$9)</f>
        <v>0</v>
      </c>
      <c r="AN36" s="37"/>
      <c r="AO36" s="36">
        <f>SUM(AN36/12*2*$E36*$G36*$I36*$L36*$AE$9)+(AN36/12*10*$F36*$G36*$I36*$L36*$AE$9)</f>
        <v>0</v>
      </c>
      <c r="AP36" s="37"/>
      <c r="AQ36" s="36"/>
      <c r="AR36" s="37"/>
      <c r="AS36" s="36">
        <f>SUM(AR36/12*2*$E36*$G36*$I36*$L36*AS$9)+(AR36/12*10*$F36*$G36*$I36*$L36*AS$9)</f>
        <v>0</v>
      </c>
      <c r="AT36" s="37"/>
      <c r="AU36" s="36">
        <f>SUM(AT36/12*2*$E36*$G36*$I36*$L36*$AI$9)+(AT36/12*10*$F36*$G36*$I36*$L36*$AI$9)</f>
        <v>0</v>
      </c>
      <c r="AV36" s="37"/>
      <c r="AW36" s="36">
        <f>SUM(AV36/12*2*$E36*$G36*$I36*$L36*AW$9)+(AV36/12*10*$F36*$G36*$I36*$L36*AW$9)</f>
        <v>0</v>
      </c>
      <c r="AX36" s="37"/>
      <c r="AY36" s="36">
        <f>SUM(AX36/12*2*$E36*$G36*$I36*$L36*AY$9)+(AX36/12*10*$F36*$G36*$I36*$L36*AY$9)</f>
        <v>0</v>
      </c>
      <c r="AZ36" s="37"/>
      <c r="BA36" s="36">
        <f>SUM(AZ36/12*2*$E36*$G36*$I36*$L36*BA$9)+(AZ36/12*10*$F36*$G36*$I36*$L36*BA$9)</f>
        <v>0</v>
      </c>
      <c r="BB36" s="37"/>
      <c r="BC36" s="36">
        <f>SUM(BB36/12*2*$E36*$G36*$I36*$L36*BC$9)+(BB36/12*10*$F36*$G36*$I36*$L36*BC$9)</f>
        <v>0</v>
      </c>
      <c r="BD36" s="37"/>
      <c r="BE36" s="36">
        <f>SUM(BD36/12*2*$E36*$G36*$I36*$L36*BE$9)+(BD36/12*10*$F36*$G36*$I36*$L36*BE$9)</f>
        <v>0</v>
      </c>
      <c r="BF36" s="37"/>
      <c r="BG36" s="39">
        <f>(BF36/12*2*$E36*$G36*$I36*$M36*BG$9)+(BF36/12*10*$F36*$G36*$I36*$M36*BG$9)</f>
        <v>0</v>
      </c>
      <c r="BH36" s="37"/>
      <c r="BI36" s="36">
        <f>(BH36/12*2*$E36*$G36*$I36*$M36*BI$9)+(BH36/12*10*$F36*$G36*$I36*$M36*BI$9)</f>
        <v>0</v>
      </c>
      <c r="BJ36" s="37"/>
      <c r="BK36" s="36">
        <f>(BJ36/12*2*$E36*$G36*$I36*$M36*BK$9)+(BJ36/12*10*$F36*$G36*$I36*$M36*BK$9)</f>
        <v>0</v>
      </c>
      <c r="BL36" s="36"/>
      <c r="BM36" s="36">
        <f>(BL36/12*2*$E36*$G36*$I36*$M36*BM$9)+(BL36/12*10*$F36*$G36*$I36*$M36*BM$9)</f>
        <v>0</v>
      </c>
      <c r="BN36" s="37"/>
      <c r="BO36" s="36">
        <f>(BN36/12*10*$F36*$G36*$I36*$M36*BO$9)</f>
        <v>0</v>
      </c>
      <c r="BP36" s="39"/>
      <c r="BQ36" s="36"/>
      <c r="BR36" s="37"/>
      <c r="BS36" s="36">
        <f>(BR36/12*10*$F36*$G36*$I36*$M36*BS$9)</f>
        <v>0</v>
      </c>
      <c r="BT36" s="37"/>
      <c r="BU36" s="36">
        <f>(BT36/12*2*$E36*$G36*$I36*$M36*BU$9)+(BT36/12*10*$F36*$G36*$I36*$M36*BU$9)</f>
        <v>0</v>
      </c>
      <c r="BV36" s="36">
        <v>4</v>
      </c>
      <c r="BW36" s="36">
        <f>(BV36/12*2*$E36*$G36*$I36*$M36*BW$9)+(BV36/12*10*$F36*$G36*$I36*$M36*BW$9)</f>
        <v>109942.20159999999</v>
      </c>
      <c r="BX36" s="37"/>
      <c r="BY36" s="36">
        <f>(BX36/12*2*$E36*$G36*$I36*$M36*BY$9)+(BX36/12*10*$F36*$G36*$I36*$M36*BY$9)</f>
        <v>0</v>
      </c>
      <c r="BZ36" s="37"/>
      <c r="CA36" s="36">
        <f>(BZ36/12*2*$E36*$G36*$I36*$M36*CA$9)+(BZ36/12*10*$F36*$G36*$I36*$M36*CA$9)</f>
        <v>0</v>
      </c>
      <c r="CB36" s="37"/>
      <c r="CC36" s="36">
        <f>(CB36/12*2*$E36*$G36*$I36*$M36*CC$9)+(CB36/12*10*$F36*$G36*$I36*$M36*CC$9)</f>
        <v>0</v>
      </c>
      <c r="CD36" s="37"/>
      <c r="CE36" s="36">
        <f>(CD36/12*2*$E36*$G36*$I36*$M36*CE$9)+(CD36/12*10*$F36*$G36*$I36*$M36*CE$9)</f>
        <v>0</v>
      </c>
      <c r="CF36" s="36"/>
      <c r="CG36" s="36">
        <f>(CF36/12*2*$E36*$G36*$I36*$N36*CG$9)+(CF36/12*10*$F36*$G36*$I36*$N36*CG$9)</f>
        <v>0</v>
      </c>
      <c r="CH36" s="37"/>
      <c r="CI36" s="36">
        <f>(CH36/12*2*$E36*$G36*$I36*$O36*$CI$9)+(CH36/12*10*$F36*$G36*$I36*$O36*$CI$9)</f>
        <v>0</v>
      </c>
      <c r="CJ36" s="36"/>
      <c r="CK36" s="36"/>
      <c r="CL36" s="36"/>
      <c r="CM36" s="36"/>
      <c r="CN36" s="41"/>
      <c r="CO36" s="41"/>
      <c r="CP36" s="42">
        <f>SUM(R36+P36+T36+V36+AB36+Z36+X36+AF36+AD36+AH36+AJ36+BF36+BJ36+AL36+AT36+AV36+BT36+BV36+BR36+BX36+BZ36+BN36+AN36+AP36+AR36+BH36+BL36+AX36+AZ36+BB36+BD36+BP36+CB36+CD36+CF36+CH36+CJ36+CL36)</f>
        <v>4</v>
      </c>
      <c r="CQ36" s="42">
        <f>SUM(S36+Q36+U36+W36+AC36+AA36+Y36+AG36+AE36+AI36+AK36+BG36+BK36+AM36+AU36+AW36+BU36+BW36+BS36+BY36+CA36+BO36+AO36+AQ36+AS36+BI36+BM36+AY36+BA36+BC36+BE36+BQ36+CC36+CE36+CG36+CI36+CK36+CM36)</f>
        <v>109942.20159999999</v>
      </c>
    </row>
    <row r="37" spans="1:95" s="61" customFormat="1" ht="18.75" hidden="1" customHeight="1" x14ac:dyDescent="0.25">
      <c r="A37" s="140">
        <v>8</v>
      </c>
      <c r="B37" s="140"/>
      <c r="C37" s="125" t="s">
        <v>151</v>
      </c>
      <c r="D37" s="126" t="s">
        <v>152</v>
      </c>
      <c r="E37" s="110">
        <v>16026</v>
      </c>
      <c r="F37" s="134">
        <v>16828</v>
      </c>
      <c r="G37" s="138">
        <v>12.8</v>
      </c>
      <c r="H37" s="136"/>
      <c r="I37" s="128"/>
      <c r="J37" s="129"/>
      <c r="K37" s="29"/>
      <c r="L37" s="97">
        <v>1.4</v>
      </c>
      <c r="M37" s="97">
        <v>1.68</v>
      </c>
      <c r="N37" s="97">
        <v>2.23</v>
      </c>
      <c r="O37" s="97">
        <v>2.57</v>
      </c>
      <c r="P37" s="139">
        <f>SUM(P38:P40)</f>
        <v>0</v>
      </c>
      <c r="Q37" s="139">
        <f t="shared" ref="Q37:BH37" si="50">SUM(Q38:Q40)</f>
        <v>0</v>
      </c>
      <c r="R37" s="139">
        <f t="shared" si="50"/>
        <v>0</v>
      </c>
      <c r="S37" s="139">
        <f t="shared" si="50"/>
        <v>0</v>
      </c>
      <c r="T37" s="139">
        <f t="shared" si="50"/>
        <v>176</v>
      </c>
      <c r="U37" s="139">
        <f t="shared" si="50"/>
        <v>55660576.766666666</v>
      </c>
      <c r="V37" s="139">
        <f t="shared" si="50"/>
        <v>0</v>
      </c>
      <c r="W37" s="139">
        <f t="shared" si="50"/>
        <v>0</v>
      </c>
      <c r="X37" s="139">
        <f t="shared" si="50"/>
        <v>0</v>
      </c>
      <c r="Y37" s="139">
        <f t="shared" si="50"/>
        <v>0</v>
      </c>
      <c r="Z37" s="139">
        <f t="shared" si="50"/>
        <v>0</v>
      </c>
      <c r="AA37" s="139">
        <f t="shared" si="50"/>
        <v>0</v>
      </c>
      <c r="AB37" s="139">
        <f t="shared" si="50"/>
        <v>0</v>
      </c>
      <c r="AC37" s="139">
        <f t="shared" si="50"/>
        <v>0</v>
      </c>
      <c r="AD37" s="139">
        <f t="shared" si="50"/>
        <v>0</v>
      </c>
      <c r="AE37" s="139">
        <f t="shared" si="50"/>
        <v>0</v>
      </c>
      <c r="AF37" s="139">
        <f t="shared" si="50"/>
        <v>0</v>
      </c>
      <c r="AG37" s="139">
        <f t="shared" si="50"/>
        <v>0</v>
      </c>
      <c r="AH37" s="139">
        <f>SUM(AH38:AH40)</f>
        <v>0</v>
      </c>
      <c r="AI37" s="139">
        <f t="shared" si="50"/>
        <v>0</v>
      </c>
      <c r="AJ37" s="139">
        <v>0</v>
      </c>
      <c r="AK37" s="139">
        <v>0</v>
      </c>
      <c r="AL37" s="139">
        <f t="shared" si="50"/>
        <v>0</v>
      </c>
      <c r="AM37" s="139">
        <f t="shared" si="50"/>
        <v>0</v>
      </c>
      <c r="AN37" s="139">
        <f t="shared" si="50"/>
        <v>0</v>
      </c>
      <c r="AO37" s="139">
        <f t="shared" si="50"/>
        <v>0</v>
      </c>
      <c r="AP37" s="139">
        <f t="shared" si="50"/>
        <v>0</v>
      </c>
      <c r="AQ37" s="139">
        <f t="shared" si="50"/>
        <v>0</v>
      </c>
      <c r="AR37" s="139">
        <f t="shared" si="50"/>
        <v>0</v>
      </c>
      <c r="AS37" s="139">
        <f t="shared" si="50"/>
        <v>0</v>
      </c>
      <c r="AT37" s="139">
        <f t="shared" si="50"/>
        <v>0</v>
      </c>
      <c r="AU37" s="139">
        <f t="shared" si="50"/>
        <v>0</v>
      </c>
      <c r="AV37" s="139">
        <f t="shared" si="50"/>
        <v>0</v>
      </c>
      <c r="AW37" s="139">
        <f t="shared" si="50"/>
        <v>0</v>
      </c>
      <c r="AX37" s="139">
        <f t="shared" si="50"/>
        <v>0</v>
      </c>
      <c r="AY37" s="139">
        <f t="shared" si="50"/>
        <v>0</v>
      </c>
      <c r="AZ37" s="139">
        <f t="shared" si="50"/>
        <v>0</v>
      </c>
      <c r="BA37" s="139">
        <f>SUM(BA38:BA40)</f>
        <v>0</v>
      </c>
      <c r="BB37" s="139">
        <f t="shared" si="50"/>
        <v>0</v>
      </c>
      <c r="BC37" s="139">
        <f>SUM(BC38:BC40)</f>
        <v>0</v>
      </c>
      <c r="BD37" s="139">
        <f t="shared" si="50"/>
        <v>0</v>
      </c>
      <c r="BE37" s="139">
        <f t="shared" si="50"/>
        <v>0</v>
      </c>
      <c r="BF37" s="139">
        <f t="shared" si="50"/>
        <v>0</v>
      </c>
      <c r="BG37" s="139">
        <f t="shared" si="50"/>
        <v>0</v>
      </c>
      <c r="BH37" s="139">
        <f t="shared" si="50"/>
        <v>0</v>
      </c>
      <c r="BI37" s="139">
        <f>SUM(BI38:BI40)</f>
        <v>0</v>
      </c>
      <c r="BJ37" s="139">
        <f t="shared" ref="BJ37:BT37" si="51">SUM(BJ38:BJ40)</f>
        <v>0</v>
      </c>
      <c r="BK37" s="139">
        <f t="shared" si="51"/>
        <v>0</v>
      </c>
      <c r="BL37" s="139">
        <f t="shared" si="51"/>
        <v>0</v>
      </c>
      <c r="BM37" s="139">
        <f t="shared" si="51"/>
        <v>0</v>
      </c>
      <c r="BN37" s="139">
        <f t="shared" si="51"/>
        <v>0</v>
      </c>
      <c r="BO37" s="139">
        <f>SUM(BO38:BO40)</f>
        <v>0</v>
      </c>
      <c r="BP37" s="139">
        <f t="shared" si="51"/>
        <v>0</v>
      </c>
      <c r="BQ37" s="139">
        <f>SUM(BQ38:BQ40)</f>
        <v>0</v>
      </c>
      <c r="BR37" s="139">
        <f t="shared" si="51"/>
        <v>0</v>
      </c>
      <c r="BS37" s="139">
        <f>SUM(BS38:BS40)</f>
        <v>0</v>
      </c>
      <c r="BT37" s="139">
        <f t="shared" si="51"/>
        <v>0</v>
      </c>
      <c r="BU37" s="139">
        <f>SUM(BU38:BU40)</f>
        <v>0</v>
      </c>
      <c r="BV37" s="139">
        <f t="shared" ref="BV37:CQ37" si="52">SUM(BV38:BV40)</f>
        <v>0</v>
      </c>
      <c r="BW37" s="139">
        <f t="shared" si="52"/>
        <v>0</v>
      </c>
      <c r="BX37" s="139">
        <f t="shared" si="52"/>
        <v>0</v>
      </c>
      <c r="BY37" s="139">
        <f t="shared" si="52"/>
        <v>0</v>
      </c>
      <c r="BZ37" s="139">
        <f t="shared" si="52"/>
        <v>0</v>
      </c>
      <c r="CA37" s="139">
        <f t="shared" si="52"/>
        <v>0</v>
      </c>
      <c r="CB37" s="139">
        <f t="shared" si="52"/>
        <v>0</v>
      </c>
      <c r="CC37" s="139">
        <f t="shared" si="52"/>
        <v>0</v>
      </c>
      <c r="CD37" s="139">
        <f t="shared" si="52"/>
        <v>0</v>
      </c>
      <c r="CE37" s="139">
        <f t="shared" si="52"/>
        <v>0</v>
      </c>
      <c r="CF37" s="139">
        <f t="shared" si="52"/>
        <v>0</v>
      </c>
      <c r="CG37" s="139">
        <f t="shared" si="52"/>
        <v>0</v>
      </c>
      <c r="CH37" s="139">
        <f t="shared" si="52"/>
        <v>0</v>
      </c>
      <c r="CI37" s="139">
        <f t="shared" si="52"/>
        <v>0</v>
      </c>
      <c r="CJ37" s="139">
        <f t="shared" si="52"/>
        <v>0</v>
      </c>
      <c r="CK37" s="139">
        <f t="shared" si="52"/>
        <v>0</v>
      </c>
      <c r="CL37" s="139">
        <f t="shared" si="52"/>
        <v>0</v>
      </c>
      <c r="CM37" s="139">
        <f t="shared" si="52"/>
        <v>0</v>
      </c>
      <c r="CN37" s="139">
        <f t="shared" si="52"/>
        <v>0</v>
      </c>
      <c r="CO37" s="139">
        <f t="shared" si="52"/>
        <v>0</v>
      </c>
      <c r="CP37" s="139">
        <f t="shared" si="52"/>
        <v>176</v>
      </c>
      <c r="CQ37" s="139">
        <f t="shared" si="52"/>
        <v>55660576.766666666</v>
      </c>
    </row>
    <row r="38" spans="1:95" s="3" customFormat="1" ht="45" hidden="1" customHeight="1" x14ac:dyDescent="0.25">
      <c r="A38" s="54"/>
      <c r="B38" s="54">
        <v>21</v>
      </c>
      <c r="C38" s="55" t="s">
        <v>153</v>
      </c>
      <c r="D38" s="64" t="s">
        <v>154</v>
      </c>
      <c r="E38" s="110">
        <v>16026</v>
      </c>
      <c r="F38" s="110">
        <v>16828</v>
      </c>
      <c r="G38" s="33">
        <v>7.95</v>
      </c>
      <c r="H38" s="34"/>
      <c r="I38" s="35">
        <v>1</v>
      </c>
      <c r="J38" s="111"/>
      <c r="K38" s="35"/>
      <c r="L38" s="97">
        <v>1.4</v>
      </c>
      <c r="M38" s="97">
        <v>1.68</v>
      </c>
      <c r="N38" s="97">
        <v>2.23</v>
      </c>
      <c r="O38" s="97">
        <v>2.57</v>
      </c>
      <c r="P38" s="36"/>
      <c r="Q38" s="36">
        <f>SUM(P38/12*2*$E38*$G38*$I38*$L38*$Q$9)+(P38/12*10*$F38*$G38*$I38*$L38*$Q$9)</f>
        <v>0</v>
      </c>
      <c r="R38" s="37"/>
      <c r="S38" s="36">
        <f>SUM(R38/12*2*$E38*$G38*$I38*$L38*S$9)+(R38/12*10*$F38*$G38*$I38*$L38*S$9)</f>
        <v>0</v>
      </c>
      <c r="T38" s="36">
        <v>1</v>
      </c>
      <c r="U38" s="36">
        <f>SUM(T38/12*2*$E38*$G38*$I38*$L38*U$9)+(T38/12*10*$F38*$G38*$I38*$L38*U$9)</f>
        <v>185807.93</v>
      </c>
      <c r="V38" s="37"/>
      <c r="W38" s="36">
        <f>SUM(V38/12*2*$E38*$G38*$I38*$L38*$W$9)+(V38/12*10*$F38*$G38*$I38*$L38*$W$9)</f>
        <v>0</v>
      </c>
      <c r="X38" s="37"/>
      <c r="Y38" s="38">
        <f>SUM(X38/12*2*$E38*$G38*$I38*$L38*Y$9)+(X38/12*10*$F38*$G38*$I38*$L38*Y$9)</f>
        <v>0</v>
      </c>
      <c r="Z38" s="37"/>
      <c r="AA38" s="36"/>
      <c r="AB38" s="37">
        <v>0</v>
      </c>
      <c r="AC38" s="36">
        <f>(AB38/12*2*$E38*$G38*$I38*$L38)+(AB38/12*10*$F38*$G38*$I38*$L38)</f>
        <v>0</v>
      </c>
      <c r="AD38" s="37">
        <v>0</v>
      </c>
      <c r="AE38" s="36">
        <f>(AD38/12*2*$E38*$G38*$I38*$L38*AE$9)+(AD38/12*10*$F38*$G38*$I38*$L38*AE$9)</f>
        <v>0</v>
      </c>
      <c r="AF38" s="37">
        <v>0</v>
      </c>
      <c r="AG38" s="36">
        <f>(AF38/12*2*$E38*$G38*$I38*$M38*AG$9)+(AF38/12*10*$F38*$G38*$I38*$M38*AG$9)</f>
        <v>0</v>
      </c>
      <c r="AH38" s="37"/>
      <c r="AI38" s="36">
        <f>(AH38/12*2*$E38*$G38*$I38*$M38*$AI$9)+(AH38/12*10*$F38*$G38*$I38*$M38*$AI$9)</f>
        <v>0</v>
      </c>
      <c r="AJ38" s="36">
        <v>0</v>
      </c>
      <c r="AK38" s="36">
        <v>0</v>
      </c>
      <c r="AL38" s="37"/>
      <c r="AM38" s="36">
        <f>SUM(AL38/12*2*$E38*$G38*$I38*$L38*AM$9)+(AL38/12*10*$F38*$G38*$I38*$L38*AM$9)</f>
        <v>0</v>
      </c>
      <c r="AN38" s="37"/>
      <c r="AO38" s="36">
        <f>SUM(AN38/12*2*$E38*$G38*$I38*$L38*$AE$9)+(AN38/12*10*$F38*$G38*$I38*$L38*$AE$9)</f>
        <v>0</v>
      </c>
      <c r="AP38" s="37"/>
      <c r="AQ38" s="36"/>
      <c r="AR38" s="37"/>
      <c r="AS38" s="36">
        <f>SUM(AR38/12*2*$E38*$G38*$I38*$L38*AS$9)+(AR38/12*10*$F38*$G38*$I38*$L38*AS$9)</f>
        <v>0</v>
      </c>
      <c r="AT38" s="37"/>
      <c r="AU38" s="36">
        <f>SUM(AT38/12*2*$E38*$G38*$I38*$L38*$AI$9)+(AT38/12*10*$F38*$G38*$I38*$L38*$AI$9)</f>
        <v>0</v>
      </c>
      <c r="AV38" s="37"/>
      <c r="AW38" s="36">
        <f>SUM(AV38/12*2*$E38*$G38*$I38*$L38*AW$9)+(AV38/12*10*$F38*$G38*$I38*$L38*AW$9)</f>
        <v>0</v>
      </c>
      <c r="AX38" s="37"/>
      <c r="AY38" s="36">
        <f>SUM(AX38/12*2*$E38*$G38*$I38*$L38*AY$9)+(AX38/12*10*$F38*$G38*$I38*$L38*AY$9)</f>
        <v>0</v>
      </c>
      <c r="AZ38" s="37"/>
      <c r="BA38" s="36">
        <f>SUM(AZ38/12*2*$E38*$G38*$I38*$L38*BA$9)+(AZ38/12*10*$F38*$G38*$I38*$L38*BA$9)</f>
        <v>0</v>
      </c>
      <c r="BB38" s="37"/>
      <c r="BC38" s="36">
        <f>SUM(BB38/12*2*$E38*$G38*$I38*$L38*BC$9)+(BB38/12*10*$F38*$G38*$I38*$L38*BC$9)</f>
        <v>0</v>
      </c>
      <c r="BD38" s="37"/>
      <c r="BE38" s="36">
        <f>SUM(BD38/12*2*$E38*$G38*$I38*$L38*BE$9)+(BD38/12*10*$F38*$G38*$I38*$L38*BE$9)</f>
        <v>0</v>
      </c>
      <c r="BF38" s="37"/>
      <c r="BG38" s="39">
        <f>(BF38/12*2*$E38*$G38*$I38*$M38*BG$9)+(BF38/12*10*$F38*$G38*$I38*$M38*BG$9)</f>
        <v>0</v>
      </c>
      <c r="BH38" s="37"/>
      <c r="BI38" s="36">
        <f>(BH38/12*2*$E38*$G38*$I38*$M38*BI$9)+(BH38/12*10*$F38*$G38*$I38*$M38*BI$9)</f>
        <v>0</v>
      </c>
      <c r="BJ38" s="37"/>
      <c r="BK38" s="36">
        <f>(BJ38/12*2*$E38*$G38*$I38*$M38*BK$9)+(BJ38/12*10*$F38*$G38*$I38*$M38*BK$9)</f>
        <v>0</v>
      </c>
      <c r="BL38" s="36"/>
      <c r="BM38" s="36">
        <f>(BL38/12*2*$E38*$G38*$I38*$M38*BM$9)+(BL38/12*10*$F38*$G38*$I38*$M38*BM$9)</f>
        <v>0</v>
      </c>
      <c r="BN38" s="37"/>
      <c r="BO38" s="36">
        <f>(BN38/12*10*$F38*$G38*$I38*$M38*BO$9)</f>
        <v>0</v>
      </c>
      <c r="BP38" s="39"/>
      <c r="BQ38" s="36"/>
      <c r="BR38" s="37"/>
      <c r="BS38" s="36">
        <f>(BR38/12*10*$F38*$G38*$I38*$M38*BS$9)</f>
        <v>0</v>
      </c>
      <c r="BT38" s="37"/>
      <c r="BU38" s="36">
        <f>(BT38/12*2*$E38*$G38*$I38*$M38*BU$9)+(BT38/12*10*$F38*$G38*$I38*$M38*BU$9)</f>
        <v>0</v>
      </c>
      <c r="BV38" s="36"/>
      <c r="BW38" s="36">
        <f>(BV38/12*2*$E38*$G38*$I38*$M38*BW$9)+(BV38/12*10*$F38*$G38*$I38*$M38*BW$9)</f>
        <v>0</v>
      </c>
      <c r="BX38" s="37"/>
      <c r="BY38" s="36">
        <f>(BX38/12*2*$E38*$G38*$I38*$M38*BY$9)+(BX38/12*10*$F38*$G38*$I38*$M38*BY$9)</f>
        <v>0</v>
      </c>
      <c r="BZ38" s="37"/>
      <c r="CA38" s="36">
        <f>(BZ38/12*2*$E38*$G38*$I38*$M38*CA$9)+(BZ38/12*10*$F38*$G38*$I38*$M38*CA$9)</f>
        <v>0</v>
      </c>
      <c r="CB38" s="37"/>
      <c r="CC38" s="36">
        <f>(CB38/12*2*$E38*$G38*$I38*$M38*CC$9)+(CB38/12*10*$F38*$G38*$I38*$M38*CC$9)</f>
        <v>0</v>
      </c>
      <c r="CD38" s="37"/>
      <c r="CE38" s="36">
        <f>(CD38/12*2*$E38*$G38*$I38*$M38*CE$9)+(CD38/12*10*$F38*$G38*$I38*$M38*CE$9)</f>
        <v>0</v>
      </c>
      <c r="CF38" s="36"/>
      <c r="CG38" s="36">
        <f>(CF38/12*2*$E38*$G38*$I38*$N38*CG$9)+(CF38/12*10*$F38*$G38*$I38*$N38*CG$9)</f>
        <v>0</v>
      </c>
      <c r="CH38" s="37"/>
      <c r="CI38" s="36">
        <f>(CH38/12*2*$E38*$G38*$I38*$O38*$CI$9)+(CH38/12*10*$F38*$G38*$I38*$O38*$CI$9)</f>
        <v>0</v>
      </c>
      <c r="CJ38" s="36"/>
      <c r="CK38" s="36"/>
      <c r="CL38" s="36"/>
      <c r="CM38" s="36"/>
      <c r="CN38" s="41"/>
      <c r="CO38" s="41"/>
      <c r="CP38" s="42">
        <f t="shared" ref="CP38:CQ40" si="53">SUM(R38+P38+T38+V38+AB38+Z38+X38+AF38+AD38+AH38+AJ38+BF38+BJ38+AL38+AT38+AV38+BT38+BV38+BR38+BX38+BZ38+BN38+AN38+AP38+AR38+BH38+BL38+AX38+AZ38+BB38+BD38+BP38+CB38+CD38+CF38+CH38+CJ38+CL38)</f>
        <v>1</v>
      </c>
      <c r="CQ38" s="42">
        <f t="shared" si="53"/>
        <v>185807.93</v>
      </c>
    </row>
    <row r="39" spans="1:95" s="3" customFormat="1" ht="30" hidden="1" customHeight="1" x14ac:dyDescent="0.25">
      <c r="A39" s="54"/>
      <c r="B39" s="54">
        <v>22</v>
      </c>
      <c r="C39" s="55" t="s">
        <v>155</v>
      </c>
      <c r="D39" s="109" t="s">
        <v>156</v>
      </c>
      <c r="E39" s="110">
        <v>16026</v>
      </c>
      <c r="F39" s="110">
        <v>16828</v>
      </c>
      <c r="G39" s="57">
        <v>14.23</v>
      </c>
      <c r="H39" s="34"/>
      <c r="I39" s="35">
        <v>1</v>
      </c>
      <c r="J39" s="111"/>
      <c r="K39" s="35"/>
      <c r="L39" s="65">
        <v>1.4</v>
      </c>
      <c r="M39" s="65">
        <v>1.68</v>
      </c>
      <c r="N39" s="65">
        <v>2.23</v>
      </c>
      <c r="O39" s="65">
        <v>2.57</v>
      </c>
      <c r="P39" s="36">
        <v>0</v>
      </c>
      <c r="Q39" s="36">
        <f>SUM(P39/12*2*$E39*$G39*$I39*$L39*$Q$9)+(P39/12*10*$F39*$G39*$I39*$L39*$Q$9)</f>
        <v>0</v>
      </c>
      <c r="R39" s="37">
        <v>0</v>
      </c>
      <c r="S39" s="36">
        <f>SUM(R39/12*2*$E39*$G39*$I39*$L39*S$9)+(R39/12*10*$F39*$G39*$I39*$L39*S$9)</f>
        <v>0</v>
      </c>
      <c r="T39" s="36">
        <v>145</v>
      </c>
      <c r="U39" s="36">
        <f>SUM(T39/12*2*$E39*$G39*$I39*$L39*U$9)+(T39/12*10*$F39*$G39*$I39*$L39*U$9)</f>
        <v>48224753.756666668</v>
      </c>
      <c r="V39" s="37">
        <v>0</v>
      </c>
      <c r="W39" s="36">
        <f>SUM(V39/12*2*$E39*$G39*$I39*$L39*$W$9)+(V39/12*10*$F39*$G39*$I39*$L39*$W$9)</f>
        <v>0</v>
      </c>
      <c r="X39" s="37">
        <v>0</v>
      </c>
      <c r="Y39" s="38">
        <f>SUM(X39/12*2*$E39*$G39*$I39*$L39*Y$9)+(X39/12*10*$F39*$G39*$I39*$L39*Y$9)</f>
        <v>0</v>
      </c>
      <c r="Z39" s="37"/>
      <c r="AA39" s="36"/>
      <c r="AB39" s="37">
        <v>0</v>
      </c>
      <c r="AC39" s="36">
        <f>(AB39/12*2*$E39*$G39*$I39*$L39)+(AB39/12*10*$F39*$G39*$I39*$L39)</f>
        <v>0</v>
      </c>
      <c r="AD39" s="37">
        <v>0</v>
      </c>
      <c r="AE39" s="36">
        <f>(AD39/12*2*$E39*$G39*$I39*$L39*AE$9)+(AD39/12*10*$F39*$G39*$I39*$L39*AE$9)</f>
        <v>0</v>
      </c>
      <c r="AF39" s="37"/>
      <c r="AG39" s="36">
        <f>(AF39/12*2*$E39*$G39*$I39*$M39*AG$9)+(AF39/12*10*$F39*$G39*$I39*$M39*AG$9)</f>
        <v>0</v>
      </c>
      <c r="AH39" s="37">
        <v>0</v>
      </c>
      <c r="AI39" s="36">
        <f>(AH39/12*2*$E39*$G39*$I39*$M39*$AI$9)+(AH39/12*10*$F39*$G39*$I39*$M39*$AI$9)</f>
        <v>0</v>
      </c>
      <c r="AJ39" s="36">
        <v>0</v>
      </c>
      <c r="AK39" s="36">
        <v>0</v>
      </c>
      <c r="AL39" s="37"/>
      <c r="AM39" s="36">
        <f>SUM(AL39/12*2*$E39*$G39*$I39*$L39*AM$9)+(AL39/12*10*$F39*$G39*$I39*$L39*AM$9)</f>
        <v>0</v>
      </c>
      <c r="AN39" s="37">
        <v>0</v>
      </c>
      <c r="AO39" s="36">
        <f>SUM(AN39/12*2*$E39*$G39*$I39*$L39*$AE$9)+(AN39/12*10*$F39*$G39*$I39*$L39*$AE$9)</f>
        <v>0</v>
      </c>
      <c r="AP39" s="37"/>
      <c r="AQ39" s="36"/>
      <c r="AR39" s="37"/>
      <c r="AS39" s="36">
        <f>SUM(AR39/12*2*$E39*$G39*$I39*$L39*AS$9)+(AR39/12*10*$F39*$G39*$I39*$L39*AS$9)</f>
        <v>0</v>
      </c>
      <c r="AT39" s="37"/>
      <c r="AU39" s="36">
        <f>SUM(AT39/12*2*$E39*$G39*$I39*$L39*$AI$9)+(AT39/12*10*$F39*$G39*$I39*$L39*$AI$9)</f>
        <v>0</v>
      </c>
      <c r="AV39" s="37">
        <v>0</v>
      </c>
      <c r="AW39" s="36">
        <f>SUM(AV39/12*2*$E39*$G39*$I39*$L39*AW$9)+(AV39/12*10*$F39*$G39*$I39*$L39*AW$9)</f>
        <v>0</v>
      </c>
      <c r="AX39" s="37">
        <v>0</v>
      </c>
      <c r="AY39" s="36">
        <f>SUM(AX39/12*2*$E39*$G39*$I39*$L39*AY$9)+(AX39/12*10*$F39*$G39*$I39*$L39*AY$9)</f>
        <v>0</v>
      </c>
      <c r="AZ39" s="37">
        <v>0</v>
      </c>
      <c r="BA39" s="36">
        <f>SUM(AZ39/12*2*$E39*$G39*$I39*$L39*BA$9)+(AZ39/12*10*$F39*$G39*$I39*$L39*BA$9)</f>
        <v>0</v>
      </c>
      <c r="BB39" s="37"/>
      <c r="BC39" s="36">
        <f>SUM(BB39/12*2*$E39*$G39*$I39*$L39*BC$9)+(BB39/12*10*$F39*$G39*$I39*$L39*BC$9)</f>
        <v>0</v>
      </c>
      <c r="BD39" s="37"/>
      <c r="BE39" s="36">
        <f>SUM(BD39/12*2*$E39*$G39*$I39*$L39*BE$9)+(BD39/12*10*$F39*$G39*$I39*$L39*BE$9)</f>
        <v>0</v>
      </c>
      <c r="BF39" s="37"/>
      <c r="BG39" s="39">
        <f>(BF39/12*2*$E39*$G39*$I39*$M39*BG$9)+(BF39/12*10*$F39*$G39*$I39*$M39*BG$9)</f>
        <v>0</v>
      </c>
      <c r="BH39" s="37">
        <v>0</v>
      </c>
      <c r="BI39" s="36">
        <f>(BH39/12*2*$E39*$G39*$I39*$M39*BI$9)+(BH39/12*10*$F39*$G39*$I39*$M39*BI$9)</f>
        <v>0</v>
      </c>
      <c r="BJ39" s="37">
        <v>0</v>
      </c>
      <c r="BK39" s="36">
        <f>(BJ39/12*2*$E39*$G39*$I39*$M39*BK$9)+(BJ39/12*10*$F39*$G39*$I39*$M39*BK$9)</f>
        <v>0</v>
      </c>
      <c r="BL39" s="36">
        <v>0</v>
      </c>
      <c r="BM39" s="36">
        <f>(BL39/12*2*$E39*$G39*$I39*$M39*BM$9)+(BL39/12*10*$F39*$G39*$I39*$M39*BM$9)</f>
        <v>0</v>
      </c>
      <c r="BN39" s="37">
        <v>0</v>
      </c>
      <c r="BO39" s="36">
        <f>(BN39/12*10*$F39*$G39*$I39*$M39*BO$9)</f>
        <v>0</v>
      </c>
      <c r="BP39" s="39"/>
      <c r="BQ39" s="36"/>
      <c r="BR39" s="37">
        <v>0</v>
      </c>
      <c r="BS39" s="36">
        <f>(BR39/12*10*$F39*$G39*$I39*$M39*BS$9)</f>
        <v>0</v>
      </c>
      <c r="BT39" s="37">
        <v>0</v>
      </c>
      <c r="BU39" s="36">
        <f>(BT39/12*2*$E39*$G39*$I39*$M39*BU$9)+(BT39/12*10*$F39*$G39*$I39*$M39*BU$9)</f>
        <v>0</v>
      </c>
      <c r="BV39" s="36">
        <v>0</v>
      </c>
      <c r="BW39" s="36">
        <f>(BV39/12*2*$E39*$G39*$I39*$M39*BW$9)+(BV39/12*10*$F39*$G39*$I39*$M39*BW$9)</f>
        <v>0</v>
      </c>
      <c r="BX39" s="37">
        <v>0</v>
      </c>
      <c r="BY39" s="36">
        <f>(BX39/12*2*$E39*$G39*$I39*$M39*BY$9)+(BX39/12*10*$F39*$G39*$I39*$M39*BY$9)</f>
        <v>0</v>
      </c>
      <c r="BZ39" s="37"/>
      <c r="CA39" s="36">
        <f>(BZ39/12*2*$E39*$G39*$I39*$M39*CA$9)+(BZ39/12*10*$F39*$G39*$I39*$M39*CA$9)</f>
        <v>0</v>
      </c>
      <c r="CB39" s="37"/>
      <c r="CC39" s="36">
        <f>(CB39/12*2*$E39*$G39*$I39*$M39*CC$9)+(CB39/12*10*$F39*$G39*$I39*$M39*CC$9)</f>
        <v>0</v>
      </c>
      <c r="CD39" s="37">
        <v>0</v>
      </c>
      <c r="CE39" s="36">
        <f>(CD39/12*2*$E39*$G39*$I39*$M39*CE$9)+(CD39/12*10*$F39*$G39*$I39*$M39*CE$9)</f>
        <v>0</v>
      </c>
      <c r="CF39" s="36">
        <v>0</v>
      </c>
      <c r="CG39" s="36">
        <f>(CF39/12*2*$E39*$G39*$I39*$N39*CG$9)+(CF39/12*10*$F39*$G39*$I39*$N39*CG$9)</f>
        <v>0</v>
      </c>
      <c r="CH39" s="37">
        <v>0</v>
      </c>
      <c r="CI39" s="36">
        <f>(CH39/12*2*$E39*$G39*$I39*$O39*$CI$9)+(CH39/12*10*$F39*$G39*$I39*$O39*$CI$9)</f>
        <v>0</v>
      </c>
      <c r="CJ39" s="36"/>
      <c r="CK39" s="36"/>
      <c r="CL39" s="36"/>
      <c r="CM39" s="36"/>
      <c r="CN39" s="41"/>
      <c r="CO39" s="41"/>
      <c r="CP39" s="42">
        <f t="shared" si="53"/>
        <v>145</v>
      </c>
      <c r="CQ39" s="42">
        <f t="shared" si="53"/>
        <v>48224753.756666668</v>
      </c>
    </row>
    <row r="40" spans="1:95" s="3" customFormat="1" ht="45" hidden="1" customHeight="1" x14ac:dyDescent="0.25">
      <c r="A40" s="54"/>
      <c r="B40" s="54">
        <v>23</v>
      </c>
      <c r="C40" s="55" t="s">
        <v>157</v>
      </c>
      <c r="D40" s="109" t="s">
        <v>158</v>
      </c>
      <c r="E40" s="110">
        <v>16026</v>
      </c>
      <c r="F40" s="110">
        <v>16828</v>
      </c>
      <c r="G40" s="57">
        <v>10.34</v>
      </c>
      <c r="H40" s="34"/>
      <c r="I40" s="35">
        <v>1</v>
      </c>
      <c r="J40" s="111"/>
      <c r="K40" s="35"/>
      <c r="L40" s="65">
        <v>1.4</v>
      </c>
      <c r="M40" s="65">
        <v>1.68</v>
      </c>
      <c r="N40" s="65">
        <v>2.23</v>
      </c>
      <c r="O40" s="65">
        <v>2.57</v>
      </c>
      <c r="P40" s="36"/>
      <c r="Q40" s="36">
        <f>SUM(P40/12*2*$E40*$G40*$I40*$L40*$Q$9)+(P40/12*10*$F40*$G40*$I40*$L40*$Q$9)</f>
        <v>0</v>
      </c>
      <c r="R40" s="37"/>
      <c r="S40" s="36">
        <f>SUM(R40/12*2*$E40*$G40*$I40*$L40*S$9)+(R40/12*10*$F40*$G40*$I40*$L40*S$9)</f>
        <v>0</v>
      </c>
      <c r="T40" s="36">
        <v>30</v>
      </c>
      <c r="U40" s="36">
        <f>SUM(T40/12*2*$E40*$G40*$I40*$L40*U$9)+(T40/12*10*$F40*$G40*$I40*$L40*U$9)</f>
        <v>7250015.0799999991</v>
      </c>
      <c r="V40" s="37"/>
      <c r="W40" s="36">
        <f>SUM(V40/12*2*$E40*$G40*$I40*$L40*$W$9)+(V40/12*10*$F40*$G40*$I40*$L40*$W$9)</f>
        <v>0</v>
      </c>
      <c r="X40" s="37"/>
      <c r="Y40" s="38">
        <f>SUM(X40/12*2*$E40*$G40*$I40*$L40*Y$9)+(X40/12*10*$F40*$G40*$I40*$L40*Y$9)</f>
        <v>0</v>
      </c>
      <c r="Z40" s="37"/>
      <c r="AA40" s="36"/>
      <c r="AB40" s="37">
        <v>0</v>
      </c>
      <c r="AC40" s="36">
        <f>(AB40/12*2*$E40*$G40*$I40*$L40)+(AB40/12*10*$F40*$G40*$I40*$L40)</f>
        <v>0</v>
      </c>
      <c r="AD40" s="37">
        <v>0</v>
      </c>
      <c r="AE40" s="36">
        <f>(AD40/12*2*$E40*$G40*$I40*$L40*AE$9)+(AD40/12*10*$F40*$G40*$I40*$L40*AE$9)</f>
        <v>0</v>
      </c>
      <c r="AF40" s="37">
        <v>0</v>
      </c>
      <c r="AG40" s="36">
        <f>(AF40/12*2*$E40*$G40*$I40*$M40*AG$9)+(AF40/12*10*$F40*$G40*$I40*$M40*AG$9)</f>
        <v>0</v>
      </c>
      <c r="AH40" s="37"/>
      <c r="AI40" s="36">
        <f>(AH40/12*2*$E40*$G40*$I40*$M40*$AI$9)+(AH40/12*10*$F40*$G40*$I40*$M40*$AI$9)</f>
        <v>0</v>
      </c>
      <c r="AJ40" s="36">
        <v>0</v>
      </c>
      <c r="AK40" s="36">
        <v>0</v>
      </c>
      <c r="AL40" s="37"/>
      <c r="AM40" s="36">
        <f>SUM(AL40/12*2*$E40*$G40*$I40*$L40*AM$9)+(AL40/12*10*$F40*$G40*$I40*$L40*AM$9)</f>
        <v>0</v>
      </c>
      <c r="AN40" s="37"/>
      <c r="AO40" s="36">
        <f>SUM(AN40/12*2*$E40*$G40*$I40*$L40*$AE$9)+(AN40/12*10*$F40*$G40*$I40*$L40*$AE$9)</f>
        <v>0</v>
      </c>
      <c r="AP40" s="37"/>
      <c r="AQ40" s="36"/>
      <c r="AR40" s="37"/>
      <c r="AS40" s="36">
        <f>SUM(AR40/12*2*$E40*$G40*$I40*$L40*AS$9)+(AR40/12*10*$F40*$G40*$I40*$L40*AS$9)</f>
        <v>0</v>
      </c>
      <c r="AT40" s="37"/>
      <c r="AU40" s="36">
        <f>SUM(AT40/12*2*$E40*$G40*$I40*$L40*$AI$9)+(AT40/12*10*$F40*$G40*$I40*$L40*$AI$9)</f>
        <v>0</v>
      </c>
      <c r="AV40" s="37"/>
      <c r="AW40" s="36">
        <f>SUM(AV40/12*2*$E40*$G40*$I40*$L40*AW$9)+(AV40/12*10*$F40*$G40*$I40*$L40*AW$9)</f>
        <v>0</v>
      </c>
      <c r="AX40" s="37"/>
      <c r="AY40" s="36">
        <f>SUM(AX40/12*2*$E40*$G40*$I40*$L40*AY$9)+(AX40/12*10*$F40*$G40*$I40*$L40*AY$9)</f>
        <v>0</v>
      </c>
      <c r="AZ40" s="37"/>
      <c r="BA40" s="36">
        <f>SUM(AZ40/12*2*$E40*$G40*$I40*$L40*BA$9)+(AZ40/12*10*$F40*$G40*$I40*$L40*BA$9)</f>
        <v>0</v>
      </c>
      <c r="BB40" s="37"/>
      <c r="BC40" s="36">
        <f>SUM(BB40/12*2*$E40*$G40*$I40*$L40*BC$9)+(BB40/12*10*$F40*$G40*$I40*$L40*BC$9)</f>
        <v>0</v>
      </c>
      <c r="BD40" s="37"/>
      <c r="BE40" s="36">
        <f>SUM(BD40/12*2*$E40*$G40*$I40*$L40*BE$9)+(BD40/12*10*$F40*$G40*$I40*$L40*BE$9)</f>
        <v>0</v>
      </c>
      <c r="BF40" s="37"/>
      <c r="BG40" s="39">
        <f>(BF40/12*2*$E40*$G40*$I40*$M40*BG$9)+(BF40/12*10*$F40*$G40*$I40*$M40*BG$9)</f>
        <v>0</v>
      </c>
      <c r="BH40" s="37"/>
      <c r="BI40" s="36">
        <f>(BH40/12*2*$E40*$G40*$I40*$M40*BI$9)+(BH40/12*10*$F40*$G40*$I40*$M40*BI$9)</f>
        <v>0</v>
      </c>
      <c r="BJ40" s="37"/>
      <c r="BK40" s="36">
        <f>(BJ40/12*2*$E40*$G40*$I40*$M40*BK$9)+(BJ40/12*10*$F40*$G40*$I40*$M40*BK$9)</f>
        <v>0</v>
      </c>
      <c r="BL40" s="36"/>
      <c r="BM40" s="36">
        <f>(BL40/12*2*$E40*$G40*$I40*$M40*BM$9)+(BL40/12*10*$F40*$G40*$I40*$M40*BM$9)</f>
        <v>0</v>
      </c>
      <c r="BN40" s="37"/>
      <c r="BO40" s="36">
        <f>(BN40/12*10*$F40*$G40*$I40*$M40*BO$9)</f>
        <v>0</v>
      </c>
      <c r="BP40" s="39"/>
      <c r="BQ40" s="36"/>
      <c r="BR40" s="37"/>
      <c r="BS40" s="36">
        <f>(BR40/12*10*$F40*$G40*$I40*$M40*BS$9)</f>
        <v>0</v>
      </c>
      <c r="BT40" s="37"/>
      <c r="BU40" s="36">
        <f>(BT40/12*2*$E40*$G40*$I40*$M40*BU$9)+(BT40/12*10*$F40*$G40*$I40*$M40*BU$9)</f>
        <v>0</v>
      </c>
      <c r="BV40" s="36"/>
      <c r="BW40" s="36">
        <f>(BV40/12*2*$E40*$G40*$I40*$M40*BW$9)+(BV40/12*10*$F40*$G40*$I40*$M40*BW$9)</f>
        <v>0</v>
      </c>
      <c r="BX40" s="37"/>
      <c r="BY40" s="36">
        <f>(BX40/12*2*$E40*$G40*$I40*$M40*BY$9)+(BX40/12*10*$F40*$G40*$I40*$M40*BY$9)</f>
        <v>0</v>
      </c>
      <c r="BZ40" s="37"/>
      <c r="CA40" s="36">
        <f>(BZ40/12*2*$E40*$G40*$I40*$M40*CA$9)+(BZ40/12*10*$F40*$G40*$I40*$M40*CA$9)</f>
        <v>0</v>
      </c>
      <c r="CB40" s="37"/>
      <c r="CC40" s="36">
        <f>(CB40/12*2*$E40*$G40*$I40*$M40*CC$9)+(CB40/12*10*$F40*$G40*$I40*$M40*CC$9)</f>
        <v>0</v>
      </c>
      <c r="CD40" s="37"/>
      <c r="CE40" s="36">
        <f>(CD40/12*2*$E40*$G40*$I40*$M40*CE$9)+(CD40/12*10*$F40*$G40*$I40*$M40*CE$9)</f>
        <v>0</v>
      </c>
      <c r="CF40" s="37"/>
      <c r="CG40" s="36">
        <f>(CF40/12*2*$E40*$G40*$I40*$N40*CG$9)+(CF40/12*10*$F40*$G40*$I40*$N40*CG$9)</f>
        <v>0</v>
      </c>
      <c r="CH40" s="37"/>
      <c r="CI40" s="36">
        <f>(CH40/12*2*$E40*$G40*$I40*$O40*$CI$9)+(CH40/12*10*$F40*$G40*$I40*$O40*$CI$9)</f>
        <v>0</v>
      </c>
      <c r="CJ40" s="36"/>
      <c r="CK40" s="36"/>
      <c r="CL40" s="36"/>
      <c r="CM40" s="36"/>
      <c r="CN40" s="41"/>
      <c r="CO40" s="41"/>
      <c r="CP40" s="42">
        <f t="shared" si="53"/>
        <v>30</v>
      </c>
      <c r="CQ40" s="42">
        <f t="shared" si="53"/>
        <v>7250015.0799999991</v>
      </c>
    </row>
    <row r="41" spans="1:95" s="61" customFormat="1" ht="18.75" hidden="1" customHeight="1" x14ac:dyDescent="0.25">
      <c r="A41" s="140">
        <v>9</v>
      </c>
      <c r="B41" s="140"/>
      <c r="C41" s="125" t="s">
        <v>159</v>
      </c>
      <c r="D41" s="126" t="s">
        <v>160</v>
      </c>
      <c r="E41" s="110">
        <v>16026</v>
      </c>
      <c r="F41" s="134">
        <v>16828</v>
      </c>
      <c r="G41" s="138">
        <v>1.42</v>
      </c>
      <c r="H41" s="136"/>
      <c r="I41" s="128"/>
      <c r="J41" s="129"/>
      <c r="K41" s="29"/>
      <c r="L41" s="97">
        <v>1.4</v>
      </c>
      <c r="M41" s="97">
        <v>1.68</v>
      </c>
      <c r="N41" s="97">
        <v>2.23</v>
      </c>
      <c r="O41" s="97">
        <v>2.57</v>
      </c>
      <c r="P41" s="139">
        <f>SUM(P42:P43)</f>
        <v>0</v>
      </c>
      <c r="Q41" s="139">
        <f t="shared" ref="Q41:BH41" si="54">SUM(Q42:Q43)</f>
        <v>0</v>
      </c>
      <c r="R41" s="139">
        <f t="shared" si="54"/>
        <v>0</v>
      </c>
      <c r="S41" s="139">
        <f t="shared" si="54"/>
        <v>0</v>
      </c>
      <c r="T41" s="139">
        <f t="shared" si="54"/>
        <v>0</v>
      </c>
      <c r="U41" s="139">
        <f t="shared" si="54"/>
        <v>0</v>
      </c>
      <c r="V41" s="139">
        <f t="shared" si="54"/>
        <v>0</v>
      </c>
      <c r="W41" s="139">
        <f t="shared" si="54"/>
        <v>0</v>
      </c>
      <c r="X41" s="139">
        <f t="shared" si="54"/>
        <v>0</v>
      </c>
      <c r="Y41" s="139">
        <f t="shared" si="54"/>
        <v>0</v>
      </c>
      <c r="Z41" s="139">
        <f t="shared" si="54"/>
        <v>0</v>
      </c>
      <c r="AA41" s="139">
        <f t="shared" si="54"/>
        <v>0</v>
      </c>
      <c r="AB41" s="139">
        <f t="shared" si="54"/>
        <v>0</v>
      </c>
      <c r="AC41" s="139">
        <f t="shared" si="54"/>
        <v>0</v>
      </c>
      <c r="AD41" s="139">
        <f t="shared" si="54"/>
        <v>0</v>
      </c>
      <c r="AE41" s="139">
        <f t="shared" si="54"/>
        <v>0</v>
      </c>
      <c r="AF41" s="139">
        <f t="shared" si="54"/>
        <v>0</v>
      </c>
      <c r="AG41" s="139">
        <f t="shared" si="54"/>
        <v>0</v>
      </c>
      <c r="AH41" s="139">
        <f>SUM(AH42:AH43)</f>
        <v>0</v>
      </c>
      <c r="AI41" s="139">
        <f t="shared" si="54"/>
        <v>0</v>
      </c>
      <c r="AJ41" s="139">
        <v>0</v>
      </c>
      <c r="AK41" s="139">
        <v>0</v>
      </c>
      <c r="AL41" s="139">
        <f t="shared" si="54"/>
        <v>0</v>
      </c>
      <c r="AM41" s="139">
        <f t="shared" si="54"/>
        <v>0</v>
      </c>
      <c r="AN41" s="139">
        <f t="shared" si="54"/>
        <v>0</v>
      </c>
      <c r="AO41" s="139">
        <f t="shared" si="54"/>
        <v>0</v>
      </c>
      <c r="AP41" s="139">
        <f t="shared" si="54"/>
        <v>0</v>
      </c>
      <c r="AQ41" s="139">
        <f t="shared" si="54"/>
        <v>0</v>
      </c>
      <c r="AR41" s="139">
        <f t="shared" si="54"/>
        <v>0</v>
      </c>
      <c r="AS41" s="139">
        <f t="shared" si="54"/>
        <v>0</v>
      </c>
      <c r="AT41" s="139">
        <f t="shared" si="54"/>
        <v>0</v>
      </c>
      <c r="AU41" s="139">
        <f t="shared" si="54"/>
        <v>0</v>
      </c>
      <c r="AV41" s="139">
        <f t="shared" si="54"/>
        <v>5</v>
      </c>
      <c r="AW41" s="139">
        <f t="shared" si="54"/>
        <v>161267.25999999998</v>
      </c>
      <c r="AX41" s="139">
        <f t="shared" si="54"/>
        <v>0</v>
      </c>
      <c r="AY41" s="139">
        <f t="shared" si="54"/>
        <v>0</v>
      </c>
      <c r="AZ41" s="139">
        <f t="shared" si="54"/>
        <v>0</v>
      </c>
      <c r="BA41" s="139">
        <f>SUM(BA42:BA43)</f>
        <v>0</v>
      </c>
      <c r="BB41" s="139">
        <f t="shared" si="54"/>
        <v>0</v>
      </c>
      <c r="BC41" s="139">
        <f>SUM(BC42:BC43)</f>
        <v>0</v>
      </c>
      <c r="BD41" s="139">
        <f t="shared" si="54"/>
        <v>0</v>
      </c>
      <c r="BE41" s="139">
        <f t="shared" si="54"/>
        <v>0</v>
      </c>
      <c r="BF41" s="139">
        <f t="shared" si="54"/>
        <v>0</v>
      </c>
      <c r="BG41" s="139">
        <f t="shared" si="54"/>
        <v>0</v>
      </c>
      <c r="BH41" s="139">
        <f t="shared" si="54"/>
        <v>0</v>
      </c>
      <c r="BI41" s="139">
        <f>SUM(BI42:BI43)</f>
        <v>0</v>
      </c>
      <c r="BJ41" s="139">
        <f t="shared" ref="BJ41:BT41" si="55">SUM(BJ42:BJ43)</f>
        <v>0</v>
      </c>
      <c r="BK41" s="139">
        <f t="shared" si="55"/>
        <v>0</v>
      </c>
      <c r="BL41" s="139">
        <f t="shared" si="55"/>
        <v>0</v>
      </c>
      <c r="BM41" s="139">
        <f t="shared" si="55"/>
        <v>0</v>
      </c>
      <c r="BN41" s="139">
        <f t="shared" si="55"/>
        <v>0</v>
      </c>
      <c r="BO41" s="139">
        <f>SUM(BO42:BO43)</f>
        <v>0</v>
      </c>
      <c r="BP41" s="139">
        <f t="shared" si="55"/>
        <v>0</v>
      </c>
      <c r="BQ41" s="139">
        <f>SUM(BQ42:BQ43)</f>
        <v>0</v>
      </c>
      <c r="BR41" s="139">
        <f t="shared" si="55"/>
        <v>0</v>
      </c>
      <c r="BS41" s="139">
        <f>SUM(BS42:BS43)</f>
        <v>0</v>
      </c>
      <c r="BT41" s="139">
        <f t="shared" si="55"/>
        <v>0</v>
      </c>
      <c r="BU41" s="139">
        <f>SUM(BU42:BU43)</f>
        <v>0</v>
      </c>
      <c r="BV41" s="139">
        <f t="shared" ref="BV41:CQ41" si="56">SUM(BV42:BV43)</f>
        <v>0</v>
      </c>
      <c r="BW41" s="139">
        <f t="shared" si="56"/>
        <v>0</v>
      </c>
      <c r="BX41" s="139">
        <f t="shared" si="56"/>
        <v>0</v>
      </c>
      <c r="BY41" s="139">
        <f t="shared" si="56"/>
        <v>0</v>
      </c>
      <c r="BZ41" s="139">
        <f t="shared" si="56"/>
        <v>0</v>
      </c>
      <c r="CA41" s="139">
        <f t="shared" si="56"/>
        <v>0</v>
      </c>
      <c r="CB41" s="139">
        <f t="shared" si="56"/>
        <v>0</v>
      </c>
      <c r="CC41" s="139">
        <f t="shared" si="56"/>
        <v>0</v>
      </c>
      <c r="CD41" s="139">
        <f t="shared" si="56"/>
        <v>0</v>
      </c>
      <c r="CE41" s="139">
        <f t="shared" si="56"/>
        <v>0</v>
      </c>
      <c r="CF41" s="139">
        <f t="shared" si="56"/>
        <v>0</v>
      </c>
      <c r="CG41" s="139">
        <f t="shared" si="56"/>
        <v>0</v>
      </c>
      <c r="CH41" s="139">
        <f t="shared" si="56"/>
        <v>0</v>
      </c>
      <c r="CI41" s="139">
        <f t="shared" si="56"/>
        <v>0</v>
      </c>
      <c r="CJ41" s="139">
        <f t="shared" si="56"/>
        <v>0</v>
      </c>
      <c r="CK41" s="139">
        <f t="shared" si="56"/>
        <v>0</v>
      </c>
      <c r="CL41" s="139">
        <f t="shared" si="56"/>
        <v>0</v>
      </c>
      <c r="CM41" s="139">
        <f t="shared" si="56"/>
        <v>0</v>
      </c>
      <c r="CN41" s="139">
        <f t="shared" si="56"/>
        <v>0</v>
      </c>
      <c r="CO41" s="139">
        <f t="shared" si="56"/>
        <v>0</v>
      </c>
      <c r="CP41" s="139">
        <f t="shared" si="56"/>
        <v>5</v>
      </c>
      <c r="CQ41" s="139">
        <f t="shared" si="56"/>
        <v>161267.25999999998</v>
      </c>
    </row>
    <row r="42" spans="1:95" s="3" customFormat="1" ht="18.75" hidden="1" customHeight="1" x14ac:dyDescent="0.25">
      <c r="A42" s="54"/>
      <c r="B42" s="54">
        <v>24</v>
      </c>
      <c r="C42" s="55" t="s">
        <v>161</v>
      </c>
      <c r="D42" s="64" t="s">
        <v>162</v>
      </c>
      <c r="E42" s="110">
        <v>16026</v>
      </c>
      <c r="F42" s="110">
        <v>16828</v>
      </c>
      <c r="G42" s="33">
        <v>1.38</v>
      </c>
      <c r="H42" s="34"/>
      <c r="I42" s="57">
        <v>1</v>
      </c>
      <c r="J42" s="116"/>
      <c r="K42" s="117"/>
      <c r="L42" s="97">
        <v>1.4</v>
      </c>
      <c r="M42" s="97">
        <v>1.68</v>
      </c>
      <c r="N42" s="97">
        <v>2.23</v>
      </c>
      <c r="O42" s="97">
        <v>2.57</v>
      </c>
      <c r="P42" s="36"/>
      <c r="Q42" s="36">
        <f>SUM(P42/12*2*$E42*$G42*$I42*$L42*$Q$9)+(P42/12*10*$F42*$G42*$I42*$L42*$Q$9)</f>
        <v>0</v>
      </c>
      <c r="R42" s="37"/>
      <c r="S42" s="36">
        <f>SUM(R42/12*2*$E42*$G42*$I42*$L42*S$9)+(R42/12*10*$F42*$G42*$I42*$L42*S$9)</f>
        <v>0</v>
      </c>
      <c r="T42" s="36"/>
      <c r="U42" s="36">
        <f>SUM(T42/12*2*$E42*$G42*$I42*$L42*U$9)+(T42/12*10*$F42*$G42*$I42*$L42*U$9)</f>
        <v>0</v>
      </c>
      <c r="V42" s="37"/>
      <c r="W42" s="36">
        <f>SUM(V42/12*2*$E42*$G42*$I42*$L42*$W$9)+(V42/12*10*$F42*$G42*$I42*$L42*$W$9)</f>
        <v>0</v>
      </c>
      <c r="X42" s="37"/>
      <c r="Y42" s="38">
        <f>SUM(X42/12*2*$E42*$G42*$I42*$L42*Y$9)+(X42/12*10*$F42*$G42*$I42*$L42*Y$9)</f>
        <v>0</v>
      </c>
      <c r="Z42" s="37"/>
      <c r="AA42" s="36"/>
      <c r="AB42" s="37"/>
      <c r="AC42" s="36">
        <f>(AB42/12*2*$E42*$G42*$I42*$L42)+(AB42/12*10*$F42*$G42*$I42*$L42)</f>
        <v>0</v>
      </c>
      <c r="AD42" s="37">
        <v>0</v>
      </c>
      <c r="AE42" s="36">
        <f>(AD42/12*2*$E42*$G42*$I42*$L42*AE$9)+(AD42/12*10*$F42*$G42*$I42*$L42*AE$9)</f>
        <v>0</v>
      </c>
      <c r="AF42" s="37">
        <v>0</v>
      </c>
      <c r="AG42" s="36">
        <f>(AF42/12*2*$E42*$G42*$I42*$M42*AG$9)+(AF42/12*10*$F42*$G42*$I42*$M42*AG$9)</f>
        <v>0</v>
      </c>
      <c r="AH42" s="37"/>
      <c r="AI42" s="36">
        <f>(AH42/12*2*$E42*$G42*$I42*$M42*$AI$9)+(AH42/12*10*$F42*$G42*$I42*$M42*$AI$9)</f>
        <v>0</v>
      </c>
      <c r="AJ42" s="36">
        <v>0</v>
      </c>
      <c r="AK42" s="36">
        <v>0</v>
      </c>
      <c r="AL42" s="37"/>
      <c r="AM42" s="36">
        <f>SUM(AL42/12*2*$E42*$G42*$I42*$L42*AM$9)+(AL42/12*10*$F42*$G42*$I42*$L42*AM$9)</f>
        <v>0</v>
      </c>
      <c r="AN42" s="37"/>
      <c r="AO42" s="36">
        <f>SUM(AN42/12*2*$E42*$G42*$I42*$L42*$AE$9)+(AN42/12*10*$F42*$G42*$I42*$L42*$AE$9)</f>
        <v>0</v>
      </c>
      <c r="AP42" s="37"/>
      <c r="AQ42" s="36"/>
      <c r="AR42" s="37"/>
      <c r="AS42" s="36">
        <f>SUM(AR42/12*2*$E42*$G42*$I42*$L42*AS$9)+(AR42/12*10*$F42*$G42*$I42*$L42*AS$9)</f>
        <v>0</v>
      </c>
      <c r="AT42" s="37"/>
      <c r="AU42" s="36">
        <f>SUM(AT42/12*2*$E42*$G42*$I42*$L42*$AI$9)+(AT42/12*10*$F42*$G42*$I42*$L42*$AI$9)</f>
        <v>0</v>
      </c>
      <c r="AV42" s="37">
        <v>5</v>
      </c>
      <c r="AW42" s="36">
        <f>SUM(AV42/12*2*$E42*$G42*$I42*$L42*AW$9)+(AV42/12*10*$F42*$G42*$I42*$L42*AW$9)</f>
        <v>161267.25999999998</v>
      </c>
      <c r="AX42" s="37"/>
      <c r="AY42" s="36">
        <f>SUM(AX42/12*2*$E42*$G42*$I42*$L42*AY$9)+(AX42/12*10*$F42*$G42*$I42*$L42*AY$9)</f>
        <v>0</v>
      </c>
      <c r="AZ42" s="37"/>
      <c r="BA42" s="36">
        <f>SUM(AZ42/12*2*$E42*$G42*$I42*$L42*BA$9)+(AZ42/12*10*$F42*$G42*$I42*$L42*BA$9)</f>
        <v>0</v>
      </c>
      <c r="BB42" s="37"/>
      <c r="BC42" s="36">
        <f>SUM(BB42/12*2*$E42*$G42*$I42*$L42*BC$9)+(BB42/12*10*$F42*$G42*$I42*$L42*BC$9)</f>
        <v>0</v>
      </c>
      <c r="BD42" s="37"/>
      <c r="BE42" s="36">
        <f>SUM(BD42/12*2*$E42*$G42*$I42*$L42*BE$9)+(BD42/12*10*$F42*$G42*$I42*$L42*BE$9)</f>
        <v>0</v>
      </c>
      <c r="BF42" s="37"/>
      <c r="BG42" s="39">
        <f>(BF42/12*2*$E42*$G42*$I42*$M42*BG$9)+(BF42/12*10*$F42*$G42*$I42*$M42*BG$9)</f>
        <v>0</v>
      </c>
      <c r="BH42" s="37"/>
      <c r="BI42" s="36">
        <f>(BH42/12*2*$E42*$G42*$I42*$M42*BI$9)+(BH42/12*10*$F42*$G42*$I42*$M42*BI$9)</f>
        <v>0</v>
      </c>
      <c r="BJ42" s="37"/>
      <c r="BK42" s="36">
        <f>(BJ42/12*2*$E42*$G42*$I42*$M42*BK$9)+(BJ42/12*10*$F42*$G42*$I42*$M42*BK$9)</f>
        <v>0</v>
      </c>
      <c r="BL42" s="36"/>
      <c r="BM42" s="36">
        <f>(BL42/12*2*$E42*$G42*$I42*$M42*BM$9)+(BL42/12*10*$F42*$G42*$I42*$M42*BM$9)</f>
        <v>0</v>
      </c>
      <c r="BN42" s="37"/>
      <c r="BO42" s="36">
        <f>(BN42/12*10*$F42*$G42*$I42*$M42*BO$9)</f>
        <v>0</v>
      </c>
      <c r="BP42" s="39"/>
      <c r="BQ42" s="36"/>
      <c r="BR42" s="37"/>
      <c r="BS42" s="36">
        <f>(BR42/12*10*$F42*$G42*$I42*$M42*BS$9)</f>
        <v>0</v>
      </c>
      <c r="BT42" s="37"/>
      <c r="BU42" s="36">
        <f>(BT42/12*2*$E42*$G42*$I42*$M42*BU$9)+(BT42/12*10*$F42*$G42*$I42*$M42*BU$9)</f>
        <v>0</v>
      </c>
      <c r="BV42" s="36"/>
      <c r="BW42" s="36">
        <f>(BV42/12*2*$E42*$G42*$I42*$M42*BW$9)+(BV42/12*10*$F42*$G42*$I42*$M42*BW$9)</f>
        <v>0</v>
      </c>
      <c r="BX42" s="37"/>
      <c r="BY42" s="36">
        <f>(BX42/12*2*$E42*$G42*$I42*$M42*BY$9)+(BX42/12*10*$F42*$G42*$I42*$M42*BY$9)</f>
        <v>0</v>
      </c>
      <c r="BZ42" s="40"/>
      <c r="CA42" s="36">
        <f>(BZ42/12*2*$E42*$G42*$I42*$M42*CA$9)+(BZ42/12*10*$F42*$G42*$I42*$M42*CA$9)</f>
        <v>0</v>
      </c>
      <c r="CB42" s="37"/>
      <c r="CC42" s="36">
        <f>(CB42/12*2*$E42*$G42*$I42*$M42*CC$9)+(CB42/12*10*$F42*$G42*$I42*$M42*CC$9)</f>
        <v>0</v>
      </c>
      <c r="CD42" s="37"/>
      <c r="CE42" s="36">
        <f>(CD42/12*2*$E42*$G42*$I42*$M42*CE$9)+(CD42/12*10*$F42*$G42*$I42*$M42*CE$9)</f>
        <v>0</v>
      </c>
      <c r="CF42" s="37"/>
      <c r="CG42" s="36">
        <f>(CF42/12*2*$E42*$G42*$I42*$N42*CG$9)+(CF42/12*10*$F42*$G42*$I42*$N42*CG$9)</f>
        <v>0</v>
      </c>
      <c r="CH42" s="37"/>
      <c r="CI42" s="36">
        <f>(CH42/12*2*$E42*$G42*$I42*$O42*$CI$9)+(CH42/12*10*$F42*$G42*$I42*$O42*$CI$9)</f>
        <v>0</v>
      </c>
      <c r="CJ42" s="36"/>
      <c r="CK42" s="36"/>
      <c r="CL42" s="36"/>
      <c r="CM42" s="36"/>
      <c r="CN42" s="41"/>
      <c r="CO42" s="41"/>
      <c r="CP42" s="42">
        <f t="shared" ref="CP42:CQ43" si="57">SUM(R42+P42+T42+V42+AB42+Z42+X42+AF42+AD42+AH42+AJ42+BF42+BJ42+AL42+AT42+AV42+BT42+BV42+BR42+BX42+BZ42+BN42+AN42+AP42+AR42+BH42+BL42+AX42+AZ42+BB42+BD42+BP42+CB42+CD42+CF42+CH42+CJ42+CL42)</f>
        <v>5</v>
      </c>
      <c r="CQ42" s="42">
        <f t="shared" si="57"/>
        <v>161267.25999999998</v>
      </c>
    </row>
    <row r="43" spans="1:95" s="3" customFormat="1" ht="30" hidden="1" customHeight="1" x14ac:dyDescent="0.25">
      <c r="A43" s="54"/>
      <c r="B43" s="54">
        <v>25</v>
      </c>
      <c r="C43" s="55" t="s">
        <v>163</v>
      </c>
      <c r="D43" s="64" t="s">
        <v>164</v>
      </c>
      <c r="E43" s="110">
        <v>16026</v>
      </c>
      <c r="F43" s="110">
        <v>16828</v>
      </c>
      <c r="G43" s="35">
        <v>2.09</v>
      </c>
      <c r="H43" s="34"/>
      <c r="I43" s="57">
        <v>1</v>
      </c>
      <c r="J43" s="116"/>
      <c r="K43" s="117"/>
      <c r="L43" s="97">
        <v>1.4</v>
      </c>
      <c r="M43" s="97">
        <v>1.68</v>
      </c>
      <c r="N43" s="97">
        <v>2.23</v>
      </c>
      <c r="O43" s="97">
        <v>2.57</v>
      </c>
      <c r="P43" s="36"/>
      <c r="Q43" s="36">
        <f>SUM(P43/12*2*$E43*$G43*$I43*$L43*$Q$9)+(P43/12*10*$F43*$G43*$I43*$L43*$Q$9)</f>
        <v>0</v>
      </c>
      <c r="R43" s="37"/>
      <c r="S43" s="36">
        <f>SUM(R43/12*2*$E43*$G43*$I43*$L43*S$9)+(R43/12*10*$F43*$G43*$I43*$L43*S$9)</f>
        <v>0</v>
      </c>
      <c r="T43" s="36"/>
      <c r="U43" s="36">
        <f>SUM(T43/12*2*$E43*$G43*$I43*$L43*U$9)+(T43/12*10*$F43*$G43*$I43*$L43*U$9)</f>
        <v>0</v>
      </c>
      <c r="V43" s="37"/>
      <c r="W43" s="36">
        <f>SUM(V43/12*2*$E43*$G43*$I43*$L43*$W$9)+(V43/12*10*$F43*$G43*$I43*$L43*$W$9)</f>
        <v>0</v>
      </c>
      <c r="X43" s="37"/>
      <c r="Y43" s="38">
        <f>SUM(X43/12*2*$E43*$G43*$I43*$L43*Y$9)+(X43/12*10*$F43*$G43*$I43*$L43*Y$9)</f>
        <v>0</v>
      </c>
      <c r="Z43" s="37"/>
      <c r="AA43" s="36"/>
      <c r="AB43" s="37"/>
      <c r="AC43" s="36">
        <f>(AB43/12*2*$E43*$G43*$I43*$L43)+(AB43/12*10*$F43*$G43*$I43*$L43)</f>
        <v>0</v>
      </c>
      <c r="AD43" s="37"/>
      <c r="AE43" s="36">
        <f>(AD43/12*2*$E43*$G43*$I43*$L43*AE$9)+(AD43/12*10*$F43*$G43*$I43*$L43*AE$9)</f>
        <v>0</v>
      </c>
      <c r="AF43" s="37"/>
      <c r="AG43" s="36">
        <f>(AF43/12*2*$E43*$G43*$I43*$M43*AG$9)+(AF43/12*10*$F43*$G43*$I43*$M43*AG$9)</f>
        <v>0</v>
      </c>
      <c r="AH43" s="37"/>
      <c r="AI43" s="36">
        <f>(AH43/12*2*$E43*$G43*$I43*$M43*$AI$9)+(AH43/12*10*$F43*$G43*$I43*$M43*$AI$9)</f>
        <v>0</v>
      </c>
      <c r="AJ43" s="36">
        <v>0</v>
      </c>
      <c r="AK43" s="36">
        <v>0</v>
      </c>
      <c r="AL43" s="37"/>
      <c r="AM43" s="36">
        <f>SUM(AL43/12*2*$E43*$G43*$I43*$L43*AM$9)+(AL43/12*10*$F43*$G43*$I43*$L43*AM$9)</f>
        <v>0</v>
      </c>
      <c r="AN43" s="37"/>
      <c r="AO43" s="36">
        <f>SUM(AN43/12*2*$E43*$G43*$I43*$L43*$AE$9)+(AN43/12*10*$F43*$G43*$I43*$L43*$AE$9)</f>
        <v>0</v>
      </c>
      <c r="AP43" s="37"/>
      <c r="AQ43" s="36"/>
      <c r="AR43" s="37"/>
      <c r="AS43" s="36">
        <f>SUM(AR43/12*2*$E43*$G43*$I43*$L43*AS$9)+(AR43/12*10*$F43*$G43*$I43*$L43*AS$9)</f>
        <v>0</v>
      </c>
      <c r="AT43" s="37"/>
      <c r="AU43" s="36">
        <f>SUM(AT43/12*2*$E43*$G43*$I43*$L43*$AI$9)+(AT43/12*10*$F43*$G43*$I43*$L43*$AI$9)</f>
        <v>0</v>
      </c>
      <c r="AV43" s="37"/>
      <c r="AW43" s="36">
        <f>SUM(AV43/12*2*$E43*$G43*$I43*$L43*AW$9)+(AV43/12*10*$F43*$G43*$I43*$L43*AW$9)</f>
        <v>0</v>
      </c>
      <c r="AX43" s="37"/>
      <c r="AY43" s="36">
        <f>SUM(AX43/12*2*$E43*$G43*$I43*$L43*AY$9)+(AX43/12*10*$F43*$G43*$I43*$L43*AY$9)</f>
        <v>0</v>
      </c>
      <c r="AZ43" s="37"/>
      <c r="BA43" s="36">
        <f>SUM(AZ43/12*2*$E43*$G43*$I43*$L43*BA$9)+(AZ43/12*10*$F43*$G43*$I43*$L43*BA$9)</f>
        <v>0</v>
      </c>
      <c r="BB43" s="37"/>
      <c r="BC43" s="36">
        <f>SUM(BB43/12*2*$E43*$G43*$I43*$L43*BC$9)+(BB43/12*10*$F43*$G43*$I43*$L43*BC$9)</f>
        <v>0</v>
      </c>
      <c r="BD43" s="37"/>
      <c r="BE43" s="36">
        <f>SUM(BD43/12*2*$E43*$G43*$I43*$L43*BE$9)+(BD43/12*10*$F43*$G43*$I43*$L43*BE$9)</f>
        <v>0</v>
      </c>
      <c r="BF43" s="37"/>
      <c r="BG43" s="39">
        <f>(BF43/12*2*$E43*$G43*$I43*$M43*BG$9)+(BF43/12*10*$F43*$G43*$I43*$M43*BG$9)</f>
        <v>0</v>
      </c>
      <c r="BH43" s="37"/>
      <c r="BI43" s="36">
        <f>(BH43/12*2*$E43*$G43*$I43*$M43*BI$9)+(BH43/12*10*$F43*$G43*$I43*$M43*BI$9)</f>
        <v>0</v>
      </c>
      <c r="BJ43" s="37"/>
      <c r="BK43" s="36">
        <f>(BJ43/12*2*$E43*$G43*$I43*$M43*BK$9)+(BJ43/12*10*$F43*$G43*$I43*$M43*BK$9)</f>
        <v>0</v>
      </c>
      <c r="BL43" s="36"/>
      <c r="BM43" s="36">
        <f>(BL43/12*2*$E43*$G43*$I43*$M43*BM$9)+(BL43/12*10*$F43*$G43*$I43*$M43*BM$9)</f>
        <v>0</v>
      </c>
      <c r="BN43" s="37"/>
      <c r="BO43" s="36">
        <f>(BN43/12*10*$F43*$G43*$I43*$M43*BO$9)</f>
        <v>0</v>
      </c>
      <c r="BP43" s="39"/>
      <c r="BQ43" s="36"/>
      <c r="BR43" s="37"/>
      <c r="BS43" s="36">
        <f>(BR43/12*10*$F43*$G43*$I43*$M43*BS$9)</f>
        <v>0</v>
      </c>
      <c r="BT43" s="37"/>
      <c r="BU43" s="36">
        <f>(BT43/12*2*$E43*$G43*$I43*$M43*BU$9)+(BT43/12*10*$F43*$G43*$I43*$M43*BU$9)</f>
        <v>0</v>
      </c>
      <c r="BV43" s="36"/>
      <c r="BW43" s="36">
        <f>(BV43/12*2*$E43*$G43*$I43*$M43*BW$9)+(BV43/12*10*$F43*$G43*$I43*$M43*BW$9)</f>
        <v>0</v>
      </c>
      <c r="BX43" s="37"/>
      <c r="BY43" s="36">
        <f>(BX43/12*2*$E43*$G43*$I43*$M43*BY$9)+(BX43/12*10*$F43*$G43*$I43*$M43*BY$9)</f>
        <v>0</v>
      </c>
      <c r="BZ43" s="37"/>
      <c r="CA43" s="36">
        <f>(BZ43/12*2*$E43*$G43*$I43*$M43*CA$9)+(BZ43/12*10*$F43*$G43*$I43*$M43*CA$9)</f>
        <v>0</v>
      </c>
      <c r="CB43" s="37"/>
      <c r="CC43" s="36">
        <f>(CB43/12*2*$E43*$G43*$I43*$M43*CC$9)+(CB43/12*10*$F43*$G43*$I43*$M43*CC$9)</f>
        <v>0</v>
      </c>
      <c r="CD43" s="37"/>
      <c r="CE43" s="36">
        <f>(CD43/12*2*$E43*$G43*$I43*$M43*CE$9)+(CD43/12*10*$F43*$G43*$I43*$M43*CE$9)</f>
        <v>0</v>
      </c>
      <c r="CF43" s="37"/>
      <c r="CG43" s="36">
        <f>(CF43/12*2*$E43*$G43*$I43*$N43*CG$9)+(CF43/12*10*$F43*$G43*$I43*$N43*CG$9)</f>
        <v>0</v>
      </c>
      <c r="CH43" s="37"/>
      <c r="CI43" s="36">
        <f>(CH43/12*2*$E43*$G43*$I43*$O43*$CI$9)+(CH43/12*10*$F43*$G43*$I43*$O43*$CI$9)</f>
        <v>0</v>
      </c>
      <c r="CJ43" s="36"/>
      <c r="CK43" s="36"/>
      <c r="CL43" s="36"/>
      <c r="CM43" s="36"/>
      <c r="CN43" s="41"/>
      <c r="CO43" s="41"/>
      <c r="CP43" s="42">
        <f t="shared" si="57"/>
        <v>0</v>
      </c>
      <c r="CQ43" s="42">
        <f t="shared" si="57"/>
        <v>0</v>
      </c>
    </row>
    <row r="44" spans="1:95" s="61" customFormat="1" ht="18.75" hidden="1" customHeight="1" x14ac:dyDescent="0.25">
      <c r="A44" s="140">
        <v>10</v>
      </c>
      <c r="B44" s="140"/>
      <c r="C44" s="125" t="s">
        <v>165</v>
      </c>
      <c r="D44" s="126" t="s">
        <v>166</v>
      </c>
      <c r="E44" s="110">
        <v>16026</v>
      </c>
      <c r="F44" s="134">
        <v>16828</v>
      </c>
      <c r="G44" s="138">
        <v>1.6</v>
      </c>
      <c r="H44" s="136"/>
      <c r="I44" s="128"/>
      <c r="J44" s="129"/>
      <c r="K44" s="29"/>
      <c r="L44" s="97">
        <v>1.4</v>
      </c>
      <c r="M44" s="97">
        <v>1.68</v>
      </c>
      <c r="N44" s="97">
        <v>2.23</v>
      </c>
      <c r="O44" s="97">
        <v>2.57</v>
      </c>
      <c r="P44" s="139">
        <f>P45</f>
        <v>0</v>
      </c>
      <c r="Q44" s="139">
        <f t="shared" ref="Q44:CB44" si="58">Q45</f>
        <v>0</v>
      </c>
      <c r="R44" s="139">
        <f t="shared" si="58"/>
        <v>0</v>
      </c>
      <c r="S44" s="139">
        <f t="shared" si="58"/>
        <v>0</v>
      </c>
      <c r="T44" s="139">
        <f t="shared" si="58"/>
        <v>0</v>
      </c>
      <c r="U44" s="139">
        <f t="shared" si="58"/>
        <v>0</v>
      </c>
      <c r="V44" s="139">
        <f t="shared" si="58"/>
        <v>0</v>
      </c>
      <c r="W44" s="139">
        <f t="shared" si="58"/>
        <v>0</v>
      </c>
      <c r="X44" s="139">
        <f t="shared" si="58"/>
        <v>0</v>
      </c>
      <c r="Y44" s="139">
        <f t="shared" si="58"/>
        <v>0</v>
      </c>
      <c r="Z44" s="139">
        <f t="shared" si="58"/>
        <v>0</v>
      </c>
      <c r="AA44" s="139">
        <f t="shared" si="58"/>
        <v>0</v>
      </c>
      <c r="AB44" s="139">
        <f t="shared" si="58"/>
        <v>0</v>
      </c>
      <c r="AC44" s="139">
        <f t="shared" si="58"/>
        <v>0</v>
      </c>
      <c r="AD44" s="139">
        <f t="shared" si="58"/>
        <v>0</v>
      </c>
      <c r="AE44" s="139">
        <f t="shared" si="58"/>
        <v>0</v>
      </c>
      <c r="AF44" s="139">
        <f t="shared" si="58"/>
        <v>0</v>
      </c>
      <c r="AG44" s="139">
        <f t="shared" si="58"/>
        <v>0</v>
      </c>
      <c r="AH44" s="139">
        <f>AH45</f>
        <v>0</v>
      </c>
      <c r="AI44" s="139">
        <f t="shared" si="58"/>
        <v>0</v>
      </c>
      <c r="AJ44" s="139">
        <v>0</v>
      </c>
      <c r="AK44" s="139">
        <v>0</v>
      </c>
      <c r="AL44" s="139">
        <f t="shared" si="58"/>
        <v>0</v>
      </c>
      <c r="AM44" s="139">
        <f t="shared" si="58"/>
        <v>0</v>
      </c>
      <c r="AN44" s="139">
        <f t="shared" si="58"/>
        <v>0</v>
      </c>
      <c r="AO44" s="139">
        <f t="shared" si="58"/>
        <v>0</v>
      </c>
      <c r="AP44" s="139">
        <f t="shared" si="58"/>
        <v>0</v>
      </c>
      <c r="AQ44" s="139">
        <f t="shared" si="58"/>
        <v>0</v>
      </c>
      <c r="AR44" s="139">
        <f t="shared" si="58"/>
        <v>0</v>
      </c>
      <c r="AS44" s="139">
        <f t="shared" si="58"/>
        <v>0</v>
      </c>
      <c r="AT44" s="139">
        <f t="shared" si="58"/>
        <v>0</v>
      </c>
      <c r="AU44" s="139">
        <f t="shared" si="58"/>
        <v>0</v>
      </c>
      <c r="AV44" s="139">
        <f t="shared" si="58"/>
        <v>1</v>
      </c>
      <c r="AW44" s="139">
        <f t="shared" si="58"/>
        <v>37395.306666666664</v>
      </c>
      <c r="AX44" s="139">
        <f t="shared" si="58"/>
        <v>0</v>
      </c>
      <c r="AY44" s="139">
        <f t="shared" si="58"/>
        <v>0</v>
      </c>
      <c r="AZ44" s="139">
        <f t="shared" si="58"/>
        <v>0</v>
      </c>
      <c r="BA44" s="139">
        <f t="shared" si="58"/>
        <v>0</v>
      </c>
      <c r="BB44" s="139">
        <f t="shared" si="58"/>
        <v>0</v>
      </c>
      <c r="BC44" s="139">
        <f t="shared" si="58"/>
        <v>0</v>
      </c>
      <c r="BD44" s="139">
        <f t="shared" si="58"/>
        <v>0</v>
      </c>
      <c r="BE44" s="139">
        <f t="shared" si="58"/>
        <v>0</v>
      </c>
      <c r="BF44" s="139">
        <f t="shared" si="58"/>
        <v>0</v>
      </c>
      <c r="BG44" s="139">
        <f t="shared" si="58"/>
        <v>0</v>
      </c>
      <c r="BH44" s="139">
        <f t="shared" si="58"/>
        <v>0</v>
      </c>
      <c r="BI44" s="139">
        <f t="shared" si="58"/>
        <v>0</v>
      </c>
      <c r="BJ44" s="139">
        <f t="shared" si="58"/>
        <v>0</v>
      </c>
      <c r="BK44" s="139">
        <f t="shared" si="58"/>
        <v>0</v>
      </c>
      <c r="BL44" s="139">
        <f t="shared" si="58"/>
        <v>0</v>
      </c>
      <c r="BM44" s="139">
        <f t="shared" si="58"/>
        <v>0</v>
      </c>
      <c r="BN44" s="139">
        <f t="shared" si="58"/>
        <v>0</v>
      </c>
      <c r="BO44" s="139">
        <f t="shared" si="58"/>
        <v>0</v>
      </c>
      <c r="BP44" s="139">
        <f t="shared" si="58"/>
        <v>0</v>
      </c>
      <c r="BQ44" s="139">
        <f t="shared" si="58"/>
        <v>0</v>
      </c>
      <c r="BR44" s="139">
        <f t="shared" si="58"/>
        <v>0</v>
      </c>
      <c r="BS44" s="139">
        <f t="shared" si="58"/>
        <v>0</v>
      </c>
      <c r="BT44" s="139">
        <f t="shared" si="58"/>
        <v>0</v>
      </c>
      <c r="BU44" s="139">
        <f t="shared" si="58"/>
        <v>0</v>
      </c>
      <c r="BV44" s="139">
        <f t="shared" si="58"/>
        <v>0</v>
      </c>
      <c r="BW44" s="139">
        <f t="shared" si="58"/>
        <v>0</v>
      </c>
      <c r="BX44" s="139">
        <f t="shared" si="58"/>
        <v>0</v>
      </c>
      <c r="BY44" s="139">
        <f t="shared" si="58"/>
        <v>0</v>
      </c>
      <c r="BZ44" s="139">
        <f t="shared" si="58"/>
        <v>0</v>
      </c>
      <c r="CA44" s="139">
        <f t="shared" si="58"/>
        <v>0</v>
      </c>
      <c r="CB44" s="139">
        <f t="shared" si="58"/>
        <v>0</v>
      </c>
      <c r="CC44" s="139">
        <f t="shared" ref="CC44:CQ44" si="59">CC45</f>
        <v>0</v>
      </c>
      <c r="CD44" s="139">
        <f t="shared" si="59"/>
        <v>0</v>
      </c>
      <c r="CE44" s="139">
        <f t="shared" si="59"/>
        <v>0</v>
      </c>
      <c r="CF44" s="139">
        <f t="shared" si="59"/>
        <v>0</v>
      </c>
      <c r="CG44" s="139">
        <f t="shared" si="59"/>
        <v>0</v>
      </c>
      <c r="CH44" s="139">
        <f t="shared" si="59"/>
        <v>0</v>
      </c>
      <c r="CI44" s="139">
        <f t="shared" si="59"/>
        <v>0</v>
      </c>
      <c r="CJ44" s="139">
        <f t="shared" si="59"/>
        <v>0</v>
      </c>
      <c r="CK44" s="139">
        <f t="shared" si="59"/>
        <v>0</v>
      </c>
      <c r="CL44" s="139">
        <f t="shared" si="59"/>
        <v>0</v>
      </c>
      <c r="CM44" s="139">
        <f t="shared" si="59"/>
        <v>0</v>
      </c>
      <c r="CN44" s="139">
        <f t="shared" si="59"/>
        <v>0</v>
      </c>
      <c r="CO44" s="139">
        <f t="shared" si="59"/>
        <v>0</v>
      </c>
      <c r="CP44" s="139">
        <f t="shared" si="59"/>
        <v>1</v>
      </c>
      <c r="CQ44" s="139">
        <f t="shared" si="59"/>
        <v>37395.306666666664</v>
      </c>
    </row>
    <row r="45" spans="1:95" s="3" customFormat="1" ht="18.75" hidden="1" customHeight="1" x14ac:dyDescent="0.25">
      <c r="A45" s="54"/>
      <c r="B45" s="54">
        <v>26</v>
      </c>
      <c r="C45" s="55" t="s">
        <v>167</v>
      </c>
      <c r="D45" s="64" t="s">
        <v>168</v>
      </c>
      <c r="E45" s="110">
        <v>16026</v>
      </c>
      <c r="F45" s="110">
        <v>16828</v>
      </c>
      <c r="G45" s="33">
        <v>1.6</v>
      </c>
      <c r="H45" s="34"/>
      <c r="I45" s="57">
        <v>1</v>
      </c>
      <c r="J45" s="116"/>
      <c r="K45" s="117"/>
      <c r="L45" s="97">
        <v>1.4</v>
      </c>
      <c r="M45" s="97">
        <v>1.68</v>
      </c>
      <c r="N45" s="97">
        <v>2.23</v>
      </c>
      <c r="O45" s="97">
        <v>2.57</v>
      </c>
      <c r="P45" s="36"/>
      <c r="Q45" s="36">
        <f>SUM(P45/12*2*$E45*$G45*$I45*$L45*$Q$9)+(P45/12*10*$F45*$G45*$I45*$L45*$Q$9)</f>
        <v>0</v>
      </c>
      <c r="R45" s="37"/>
      <c r="S45" s="36">
        <f>SUM(R45/12*2*$E45*$G45*$I45*$L45*S$9)+(R45/12*10*$F45*$G45*$I45*$L45*S$9)</f>
        <v>0</v>
      </c>
      <c r="T45" s="36"/>
      <c r="U45" s="36">
        <f>SUM(T45/12*2*$E45*$G45*$I45*$L45*U$9)+(T45/12*10*$F45*$G45*$I45*$L45*U$9)</f>
        <v>0</v>
      </c>
      <c r="V45" s="37"/>
      <c r="W45" s="36">
        <f>SUM(V45/12*2*$E45*$G45*$I45*$L45*$W$9)+(V45/12*10*$F45*$G45*$I45*$L45*$W$9)</f>
        <v>0</v>
      </c>
      <c r="X45" s="37"/>
      <c r="Y45" s="38">
        <f>SUM(X45/12*2*$E45*$G45*$I45*$L45*Y$9)+(X45/12*10*$F45*$G45*$I45*$L45*Y$9)</f>
        <v>0</v>
      </c>
      <c r="Z45" s="37"/>
      <c r="AA45" s="36"/>
      <c r="AB45" s="37"/>
      <c r="AC45" s="36">
        <f>(AB45/12*2*$E45*$G45*$I45*$L45)+(AB45/12*10*$F45*$G45*$I45*$L45)</f>
        <v>0</v>
      </c>
      <c r="AD45" s="37"/>
      <c r="AE45" s="36">
        <f>(AD45/12*2*$E45*$G45*$I45*$L45*AE$9)+(AD45/12*10*$F45*$G45*$I45*$L45*AE$9)</f>
        <v>0</v>
      </c>
      <c r="AF45" s="37"/>
      <c r="AG45" s="36">
        <f>(AF45/12*2*$E45*$G45*$I45*$M45*AG$9)+(AF45/12*10*$F45*$G45*$I45*$M45*AG$9)</f>
        <v>0</v>
      </c>
      <c r="AH45" s="37"/>
      <c r="AI45" s="36">
        <f>(AH45/12*2*$E45*$G45*$I45*$M45*$AI$9)+(AH45/12*10*$F45*$G45*$I45*$M45*$AI$9)</f>
        <v>0</v>
      </c>
      <c r="AJ45" s="36">
        <v>0</v>
      </c>
      <c r="AK45" s="36">
        <v>0</v>
      </c>
      <c r="AL45" s="37"/>
      <c r="AM45" s="36">
        <f>SUM(AL45/12*2*$E45*$G45*$I45*$L45*AM$9)+(AL45/12*10*$F45*$G45*$I45*$L45*AM$9)</f>
        <v>0</v>
      </c>
      <c r="AN45" s="37"/>
      <c r="AO45" s="36">
        <f>SUM(AN45/12*2*$E45*$G45*$I45*$L45*$AE$9)+(AN45/12*10*$F45*$G45*$I45*$L45*$AE$9)</f>
        <v>0</v>
      </c>
      <c r="AP45" s="37"/>
      <c r="AQ45" s="36"/>
      <c r="AR45" s="37"/>
      <c r="AS45" s="36">
        <f>SUM(AR45/12*2*$E45*$G45*$I45*$L45*AS$9)+(AR45/12*10*$F45*$G45*$I45*$L45*AS$9)</f>
        <v>0</v>
      </c>
      <c r="AT45" s="37"/>
      <c r="AU45" s="36">
        <f>SUM(AT45/12*2*$E45*$G45*$I45*$L45*$AI$9)+(AT45/12*10*$F45*$G45*$I45*$L45*$AI$9)</f>
        <v>0</v>
      </c>
      <c r="AV45" s="37">
        <v>1</v>
      </c>
      <c r="AW45" s="36">
        <f>SUM(AV45/12*2*$E45*$G45*$I45*$L45*AW$9)+(AV45/12*10*$F45*$G45*$I45*$L45*AW$9)</f>
        <v>37395.306666666664</v>
      </c>
      <c r="AX45" s="37"/>
      <c r="AY45" s="36">
        <f>SUM(AX45/12*2*$E45*$G45*$I45*$L45*AY$9)+(AX45/12*10*$F45*$G45*$I45*$L45*AY$9)</f>
        <v>0</v>
      </c>
      <c r="AZ45" s="37"/>
      <c r="BA45" s="36">
        <f>SUM(AZ45/12*2*$E45*$G45*$I45*$L45*BA$9)+(AZ45/12*10*$F45*$G45*$I45*$L45*BA$9)</f>
        <v>0</v>
      </c>
      <c r="BB45" s="37"/>
      <c r="BC45" s="36">
        <f>SUM(BB45/12*2*$E45*$G45*$I45*$L45*BC$9)+(BB45/12*10*$F45*$G45*$I45*$L45*BC$9)</f>
        <v>0</v>
      </c>
      <c r="BD45" s="37"/>
      <c r="BE45" s="36">
        <f>SUM(BD45/12*2*$E45*$G45*$I45*$L45*BE$9)+(BD45/12*10*$F45*$G45*$I45*$L45*BE$9)</f>
        <v>0</v>
      </c>
      <c r="BF45" s="37"/>
      <c r="BG45" s="39">
        <f>(BF45/12*2*$E45*$G45*$I45*$M45*BG$9)+(BF45/12*10*$F45*$G45*$I45*$M45*BG$9)</f>
        <v>0</v>
      </c>
      <c r="BH45" s="37"/>
      <c r="BI45" s="36">
        <f>(BH45/12*2*$E45*$G45*$I45*$M45*BI$9)+(BH45/12*10*$F45*$G45*$I45*$M45*BI$9)</f>
        <v>0</v>
      </c>
      <c r="BJ45" s="37"/>
      <c r="BK45" s="36">
        <f>(BJ45/12*2*$E45*$G45*$I45*$M45*BK$9)+(BJ45/12*10*$F45*$G45*$I45*$M45*BK$9)</f>
        <v>0</v>
      </c>
      <c r="BL45" s="36"/>
      <c r="BM45" s="36">
        <f>(BL45/12*2*$E45*$G45*$I45*$M45*BM$9)+(BL45/12*10*$F45*$G45*$I45*$M45*BM$9)</f>
        <v>0</v>
      </c>
      <c r="BN45" s="37"/>
      <c r="BO45" s="36">
        <f>(BN45/12*10*$F45*$G45*$I45*$M45*BO$9)</f>
        <v>0</v>
      </c>
      <c r="BP45" s="39"/>
      <c r="BQ45" s="36"/>
      <c r="BR45" s="37"/>
      <c r="BS45" s="36">
        <f>(BR45/12*10*$F45*$G45*$I45*$M45*BS$9)</f>
        <v>0</v>
      </c>
      <c r="BT45" s="37"/>
      <c r="BU45" s="36">
        <f>(BT45/12*2*$E45*$G45*$I45*$M45*BU$9)+(BT45/12*10*$F45*$G45*$I45*$M45*BU$9)</f>
        <v>0</v>
      </c>
      <c r="BV45" s="36"/>
      <c r="BW45" s="36">
        <f>(BV45/12*2*$E45*$G45*$I45*$M45*BW$9)+(BV45/12*10*$F45*$G45*$I45*$M45*BW$9)</f>
        <v>0</v>
      </c>
      <c r="BX45" s="37"/>
      <c r="BY45" s="36">
        <f>(BX45/12*2*$E45*$G45*$I45*$M45*BY$9)+(BX45/12*10*$F45*$G45*$I45*$M45*BY$9)</f>
        <v>0</v>
      </c>
      <c r="BZ45" s="37"/>
      <c r="CA45" s="36">
        <f>(BZ45/12*2*$E45*$G45*$I45*$M45*CA$9)+(BZ45/12*10*$F45*$G45*$I45*$M45*CA$9)</f>
        <v>0</v>
      </c>
      <c r="CB45" s="37"/>
      <c r="CC45" s="36">
        <f>(CB45/12*2*$E45*$G45*$I45*$M45*CC$9)+(CB45/12*10*$F45*$G45*$I45*$M45*CC$9)</f>
        <v>0</v>
      </c>
      <c r="CD45" s="37"/>
      <c r="CE45" s="36">
        <f>(CD45/12*2*$E45*$G45*$I45*$M45*CE$9)+(CD45/12*10*$F45*$G45*$I45*$M45*CE$9)</f>
        <v>0</v>
      </c>
      <c r="CF45" s="37"/>
      <c r="CG45" s="36">
        <f>(CF45/12*2*$E45*$G45*$I45*$N45*CG$9)+(CF45/12*10*$F45*$G45*$I45*$N45*CG$9)</f>
        <v>0</v>
      </c>
      <c r="CH45" s="37"/>
      <c r="CI45" s="36">
        <f>(CH45/12*2*$E45*$G45*$I45*$O45*$CI$9)+(CH45/12*10*$F45*$G45*$I45*$O45*$CI$9)</f>
        <v>0</v>
      </c>
      <c r="CJ45" s="36"/>
      <c r="CK45" s="36"/>
      <c r="CL45" s="36"/>
      <c r="CM45" s="36"/>
      <c r="CN45" s="41"/>
      <c r="CO45" s="41"/>
      <c r="CP45" s="42">
        <f>SUM(R45+P45+T45+V45+AB45+Z45+X45+AF45+AD45+AH45+AJ45+BF45+BJ45+AL45+AT45+AV45+BT45+BV45+BR45+BX45+BZ45+BN45+AN45+AP45+AR45+BH45+BL45+AX45+AZ45+BB45+BD45+BP45+CB45+CD45+CF45+CH45+CJ45+CL45)</f>
        <v>1</v>
      </c>
      <c r="CQ45" s="42">
        <f>SUM(S45+Q45+U45+W45+AC45+AA45+Y45+AG45+AE45+AI45+AK45+BG45+BK45+AM45+AU45+AW45+BU45+BW45+BS45+BY45+CA45+BO45+AO45+AQ45+AS45+BI45+BM45+AY45+BA45+BC45+BE45+BQ45+CC45+CE45+CG45+CI45+CK45+CM45)</f>
        <v>37395.306666666664</v>
      </c>
    </row>
    <row r="46" spans="1:95" s="61" customFormat="1" ht="18.75" hidden="1" customHeight="1" x14ac:dyDescent="0.25">
      <c r="A46" s="140">
        <v>11</v>
      </c>
      <c r="B46" s="140"/>
      <c r="C46" s="125" t="s">
        <v>169</v>
      </c>
      <c r="D46" s="126" t="s">
        <v>170</v>
      </c>
      <c r="E46" s="110">
        <v>16026</v>
      </c>
      <c r="F46" s="134">
        <v>16828</v>
      </c>
      <c r="G46" s="138">
        <v>1.39</v>
      </c>
      <c r="H46" s="136"/>
      <c r="I46" s="128"/>
      <c r="J46" s="129"/>
      <c r="K46" s="29"/>
      <c r="L46" s="97">
        <v>1.4</v>
      </c>
      <c r="M46" s="97">
        <v>1.68</v>
      </c>
      <c r="N46" s="97">
        <v>2.23</v>
      </c>
      <c r="O46" s="97">
        <v>2.57</v>
      </c>
      <c r="P46" s="139">
        <f>SUM(P47:P48)</f>
        <v>0</v>
      </c>
      <c r="Q46" s="139">
        <f t="shared" ref="Q46:BH46" si="60">SUM(Q47:Q48)</f>
        <v>0</v>
      </c>
      <c r="R46" s="139">
        <f t="shared" si="60"/>
        <v>0</v>
      </c>
      <c r="S46" s="139">
        <f t="shared" si="60"/>
        <v>0</v>
      </c>
      <c r="T46" s="139">
        <f t="shared" si="60"/>
        <v>37</v>
      </c>
      <c r="U46" s="139">
        <f t="shared" si="60"/>
        <v>1176082.3946666666</v>
      </c>
      <c r="V46" s="139">
        <f t="shared" si="60"/>
        <v>0</v>
      </c>
      <c r="W46" s="139">
        <f t="shared" si="60"/>
        <v>0</v>
      </c>
      <c r="X46" s="139">
        <f t="shared" si="60"/>
        <v>0</v>
      </c>
      <c r="Y46" s="139">
        <f t="shared" si="60"/>
        <v>0</v>
      </c>
      <c r="Z46" s="139">
        <f t="shared" si="60"/>
        <v>0</v>
      </c>
      <c r="AA46" s="139">
        <f t="shared" si="60"/>
        <v>0</v>
      </c>
      <c r="AB46" s="139">
        <f t="shared" si="60"/>
        <v>0</v>
      </c>
      <c r="AC46" s="139">
        <f t="shared" si="60"/>
        <v>0</v>
      </c>
      <c r="AD46" s="139">
        <f t="shared" si="60"/>
        <v>0</v>
      </c>
      <c r="AE46" s="139">
        <f t="shared" si="60"/>
        <v>0</v>
      </c>
      <c r="AF46" s="139">
        <f t="shared" si="60"/>
        <v>0</v>
      </c>
      <c r="AG46" s="139">
        <f t="shared" si="60"/>
        <v>0</v>
      </c>
      <c r="AH46" s="139">
        <f>SUM(AH47:AH48)</f>
        <v>0</v>
      </c>
      <c r="AI46" s="139">
        <f t="shared" si="60"/>
        <v>0</v>
      </c>
      <c r="AJ46" s="139">
        <v>0</v>
      </c>
      <c r="AK46" s="139">
        <v>0</v>
      </c>
      <c r="AL46" s="139">
        <f t="shared" si="60"/>
        <v>0</v>
      </c>
      <c r="AM46" s="139">
        <f t="shared" si="60"/>
        <v>0</v>
      </c>
      <c r="AN46" s="139">
        <f t="shared" si="60"/>
        <v>0</v>
      </c>
      <c r="AO46" s="139">
        <f t="shared" si="60"/>
        <v>0</v>
      </c>
      <c r="AP46" s="139">
        <f t="shared" si="60"/>
        <v>0</v>
      </c>
      <c r="AQ46" s="139">
        <f t="shared" si="60"/>
        <v>0</v>
      </c>
      <c r="AR46" s="139">
        <f t="shared" si="60"/>
        <v>0</v>
      </c>
      <c r="AS46" s="139">
        <f t="shared" si="60"/>
        <v>0</v>
      </c>
      <c r="AT46" s="139">
        <f t="shared" si="60"/>
        <v>0</v>
      </c>
      <c r="AU46" s="139">
        <f t="shared" si="60"/>
        <v>0</v>
      </c>
      <c r="AV46" s="139">
        <f t="shared" si="60"/>
        <v>0</v>
      </c>
      <c r="AW46" s="139">
        <f t="shared" si="60"/>
        <v>0</v>
      </c>
      <c r="AX46" s="139">
        <f t="shared" si="60"/>
        <v>0</v>
      </c>
      <c r="AY46" s="139">
        <f t="shared" si="60"/>
        <v>0</v>
      </c>
      <c r="AZ46" s="139">
        <f t="shared" si="60"/>
        <v>0</v>
      </c>
      <c r="BA46" s="139">
        <f>SUM(BA47:BA48)</f>
        <v>0</v>
      </c>
      <c r="BB46" s="139">
        <f t="shared" si="60"/>
        <v>0</v>
      </c>
      <c r="BC46" s="139">
        <f>SUM(BC47:BC48)</f>
        <v>0</v>
      </c>
      <c r="BD46" s="139">
        <f t="shared" si="60"/>
        <v>0</v>
      </c>
      <c r="BE46" s="139">
        <f t="shared" si="60"/>
        <v>0</v>
      </c>
      <c r="BF46" s="139">
        <f t="shared" si="60"/>
        <v>0</v>
      </c>
      <c r="BG46" s="139">
        <f t="shared" si="60"/>
        <v>0</v>
      </c>
      <c r="BH46" s="139">
        <f t="shared" si="60"/>
        <v>0</v>
      </c>
      <c r="BI46" s="139">
        <f>SUM(BI47:BI48)</f>
        <v>0</v>
      </c>
      <c r="BJ46" s="139">
        <f t="shared" ref="BJ46:BT46" si="61">SUM(BJ47:BJ48)</f>
        <v>0</v>
      </c>
      <c r="BK46" s="139">
        <f t="shared" si="61"/>
        <v>0</v>
      </c>
      <c r="BL46" s="139">
        <f t="shared" si="61"/>
        <v>20</v>
      </c>
      <c r="BM46" s="139">
        <f t="shared" si="61"/>
        <v>762864.25600000017</v>
      </c>
      <c r="BN46" s="139">
        <f t="shared" si="61"/>
        <v>0</v>
      </c>
      <c r="BO46" s="139">
        <f>SUM(BO47:BO48)</f>
        <v>0</v>
      </c>
      <c r="BP46" s="139">
        <f t="shared" si="61"/>
        <v>0</v>
      </c>
      <c r="BQ46" s="139">
        <f>SUM(BQ47:BQ48)</f>
        <v>0</v>
      </c>
      <c r="BR46" s="139">
        <f t="shared" si="61"/>
        <v>0</v>
      </c>
      <c r="BS46" s="139">
        <f>SUM(BS47:BS48)</f>
        <v>0</v>
      </c>
      <c r="BT46" s="139">
        <f t="shared" si="61"/>
        <v>0</v>
      </c>
      <c r="BU46" s="139">
        <f>SUM(BU47:BU48)</f>
        <v>0</v>
      </c>
      <c r="BV46" s="139">
        <f t="shared" ref="BV46:CQ46" si="62">SUM(BV47:BV48)</f>
        <v>5</v>
      </c>
      <c r="BW46" s="139">
        <f t="shared" si="62"/>
        <v>190716.06400000004</v>
      </c>
      <c r="BX46" s="139">
        <f t="shared" si="62"/>
        <v>0</v>
      </c>
      <c r="BY46" s="139">
        <f t="shared" si="62"/>
        <v>0</v>
      </c>
      <c r="BZ46" s="139">
        <f t="shared" si="62"/>
        <v>0</v>
      </c>
      <c r="CA46" s="139">
        <f t="shared" si="62"/>
        <v>0</v>
      </c>
      <c r="CB46" s="139">
        <f t="shared" si="62"/>
        <v>0</v>
      </c>
      <c r="CC46" s="139">
        <f t="shared" si="62"/>
        <v>0</v>
      </c>
      <c r="CD46" s="139">
        <f t="shared" si="62"/>
        <v>0</v>
      </c>
      <c r="CE46" s="139">
        <f t="shared" si="62"/>
        <v>0</v>
      </c>
      <c r="CF46" s="139">
        <f t="shared" si="62"/>
        <v>0</v>
      </c>
      <c r="CG46" s="139">
        <f t="shared" si="62"/>
        <v>0</v>
      </c>
      <c r="CH46" s="139">
        <f t="shared" si="62"/>
        <v>0</v>
      </c>
      <c r="CI46" s="139">
        <f t="shared" si="62"/>
        <v>0</v>
      </c>
      <c r="CJ46" s="139">
        <f t="shared" si="62"/>
        <v>0</v>
      </c>
      <c r="CK46" s="139">
        <f t="shared" si="62"/>
        <v>0</v>
      </c>
      <c r="CL46" s="139">
        <f t="shared" si="62"/>
        <v>0</v>
      </c>
      <c r="CM46" s="139">
        <f t="shared" si="62"/>
        <v>0</v>
      </c>
      <c r="CN46" s="139">
        <f t="shared" si="62"/>
        <v>0</v>
      </c>
      <c r="CO46" s="139">
        <f t="shared" si="62"/>
        <v>0</v>
      </c>
      <c r="CP46" s="139">
        <f t="shared" si="62"/>
        <v>62</v>
      </c>
      <c r="CQ46" s="139">
        <f t="shared" si="62"/>
        <v>2129662.7146666669</v>
      </c>
    </row>
    <row r="47" spans="1:95" s="3" customFormat="1" ht="18.75" hidden="1" customHeight="1" x14ac:dyDescent="0.25">
      <c r="A47" s="54"/>
      <c r="B47" s="54">
        <v>27</v>
      </c>
      <c r="C47" s="55" t="s">
        <v>171</v>
      </c>
      <c r="D47" s="109" t="s">
        <v>172</v>
      </c>
      <c r="E47" s="110">
        <v>16026</v>
      </c>
      <c r="F47" s="110">
        <v>16828</v>
      </c>
      <c r="G47" s="33">
        <v>1.49</v>
      </c>
      <c r="H47" s="34"/>
      <c r="I47" s="35">
        <v>1</v>
      </c>
      <c r="J47" s="111"/>
      <c r="K47" s="35"/>
      <c r="L47" s="97">
        <v>1.4</v>
      </c>
      <c r="M47" s="97">
        <v>1.68</v>
      </c>
      <c r="N47" s="97">
        <v>2.23</v>
      </c>
      <c r="O47" s="97">
        <v>2.57</v>
      </c>
      <c r="P47" s="36"/>
      <c r="Q47" s="36">
        <f>SUM(P47/12*2*$E47*$G47*$I47*$L47*$Q$9)+(P47/12*10*$F47*$G47*$I47*$L47*$Q$9)</f>
        <v>0</v>
      </c>
      <c r="R47" s="37">
        <v>0</v>
      </c>
      <c r="S47" s="36">
        <f>SUM(R47/12*2*$E47*$G47*$I47*$L47*S$9)+(R47/12*10*$F47*$G47*$I47*$L47*S$9)</f>
        <v>0</v>
      </c>
      <c r="T47" s="36">
        <v>0</v>
      </c>
      <c r="U47" s="36">
        <f>SUM(T47/12*2*$E47*$G47*$I47*$L47*U$9)+(T47/12*10*$F47*$G47*$I47*$L47*U$9)</f>
        <v>0</v>
      </c>
      <c r="V47" s="37">
        <v>0</v>
      </c>
      <c r="W47" s="36">
        <f>SUM(V47/12*2*$E47*$G47*$I47*$L47*$W$9)+(V47/12*10*$F47*$G47*$I47*$L47*$W$9)</f>
        <v>0</v>
      </c>
      <c r="X47" s="37">
        <v>0</v>
      </c>
      <c r="Y47" s="38">
        <f>SUM(X47/12*2*$E47*$G47*$I47*$L47*Y$9)+(X47/12*10*$F47*$G47*$I47*$L47*Y$9)</f>
        <v>0</v>
      </c>
      <c r="Z47" s="37"/>
      <c r="AA47" s="36"/>
      <c r="AB47" s="37"/>
      <c r="AC47" s="36">
        <f>(AB47/12*2*$E47*$G47*$I47*$L47)+(AB47/12*10*$F47*$G47*$I47*$L47)</f>
        <v>0</v>
      </c>
      <c r="AD47" s="37">
        <v>0</v>
      </c>
      <c r="AE47" s="36">
        <f>(AD47/12*2*$E47*$G47*$I47*$L47*AE$9)+(AD47/12*10*$F47*$G47*$I47*$L47*AE$9)</f>
        <v>0</v>
      </c>
      <c r="AF47" s="37">
        <v>0</v>
      </c>
      <c r="AG47" s="36">
        <f>(AF47/12*2*$E47*$G47*$I47*$M47*AG$9)+(AF47/12*10*$F47*$G47*$I47*$M47*AG$9)</f>
        <v>0</v>
      </c>
      <c r="AH47" s="37">
        <v>0</v>
      </c>
      <c r="AI47" s="36">
        <f>(AH47/12*2*$E47*$G47*$I47*$M47*$AI$9)+(AH47/12*10*$F47*$G47*$I47*$M47*$AI$9)</f>
        <v>0</v>
      </c>
      <c r="AJ47" s="36">
        <v>0</v>
      </c>
      <c r="AK47" s="36">
        <v>0</v>
      </c>
      <c r="AL47" s="37"/>
      <c r="AM47" s="36">
        <f>SUM(AL47/12*2*$E47*$G47*$I47*$L47*AM$9)+(AL47/12*10*$F47*$G47*$I47*$L47*AM$9)</f>
        <v>0</v>
      </c>
      <c r="AN47" s="37">
        <v>0</v>
      </c>
      <c r="AO47" s="36">
        <f>SUM(AN47/12*2*$E47*$G47*$I47*$L47*$AE$9)+(AN47/12*10*$F47*$G47*$I47*$L47*$AE$9)</f>
        <v>0</v>
      </c>
      <c r="AP47" s="37"/>
      <c r="AQ47" s="36"/>
      <c r="AR47" s="37"/>
      <c r="AS47" s="36">
        <f>SUM(AR47/12*2*$E47*$G47*$I47*$L47*AS$9)+(AR47/12*10*$F47*$G47*$I47*$L47*AS$9)</f>
        <v>0</v>
      </c>
      <c r="AT47" s="37">
        <v>0</v>
      </c>
      <c r="AU47" s="36">
        <f>SUM(AT47/12*2*$E47*$G47*$I47*$L47*$AI$9)+(AT47/12*10*$F47*$G47*$I47*$L47*$AI$9)</f>
        <v>0</v>
      </c>
      <c r="AV47" s="37">
        <v>0</v>
      </c>
      <c r="AW47" s="36">
        <f>SUM(AV47/12*2*$E47*$G47*$I47*$L47*AW$9)+(AV47/12*10*$F47*$G47*$I47*$L47*AW$9)</f>
        <v>0</v>
      </c>
      <c r="AX47" s="37">
        <v>0</v>
      </c>
      <c r="AY47" s="36">
        <f>SUM(AX47/12*2*$E47*$G47*$I47*$L47*AY$9)+(AX47/12*10*$F47*$G47*$I47*$L47*AY$9)</f>
        <v>0</v>
      </c>
      <c r="AZ47" s="37">
        <v>0</v>
      </c>
      <c r="BA47" s="36">
        <f>SUM(AZ47/12*2*$E47*$G47*$I47*$L47*BA$9)+(AZ47/12*10*$F47*$G47*$I47*$L47*BA$9)</f>
        <v>0</v>
      </c>
      <c r="BB47" s="37">
        <v>0</v>
      </c>
      <c r="BC47" s="36">
        <f>SUM(BB47/12*2*$E47*$G47*$I47*$L47*BC$9)+(BB47/12*10*$F47*$G47*$I47*$L47*BC$9)</f>
        <v>0</v>
      </c>
      <c r="BD47" s="37"/>
      <c r="BE47" s="36">
        <f>SUM(BD47/12*2*$E47*$G47*$I47*$L47*BE$9)+(BD47/12*10*$F47*$G47*$I47*$L47*BE$9)</f>
        <v>0</v>
      </c>
      <c r="BF47" s="37">
        <v>0</v>
      </c>
      <c r="BG47" s="39">
        <f>(BF47/12*2*$E47*$G47*$I47*$M47*BG$9)+(BF47/12*10*$F47*$G47*$I47*$M47*BG$9)</f>
        <v>0</v>
      </c>
      <c r="BH47" s="37">
        <v>0</v>
      </c>
      <c r="BI47" s="36">
        <f>(BH47/12*2*$E47*$G47*$I47*$M47*BI$9)+(BH47/12*10*$F47*$G47*$I47*$M47*BI$9)</f>
        <v>0</v>
      </c>
      <c r="BJ47" s="37">
        <v>0</v>
      </c>
      <c r="BK47" s="36">
        <f>(BJ47/12*2*$E47*$G47*$I47*$M47*BK$9)+(BJ47/12*10*$F47*$G47*$I47*$M47*BK$9)</f>
        <v>0</v>
      </c>
      <c r="BL47" s="58"/>
      <c r="BM47" s="36">
        <f>(BL47/12*2*$E47*$G47*$I47*$M47*BM$9)+(BL47/12*10*$F47*$G47*$I47*$M47*BM$9)</f>
        <v>0</v>
      </c>
      <c r="BN47" s="37"/>
      <c r="BO47" s="36">
        <f>(BN47/12*10*$F47*$G47*$I47*$M47*BO$9)</f>
        <v>0</v>
      </c>
      <c r="BP47" s="39"/>
      <c r="BQ47" s="36"/>
      <c r="BR47" s="37"/>
      <c r="BS47" s="36">
        <f>(BR47/12*10*$F47*$G47*$I47*$M47*BS$9)</f>
        <v>0</v>
      </c>
      <c r="BT47" s="37"/>
      <c r="BU47" s="36">
        <f>(BT47/12*2*$E47*$G47*$I47*$M47*BU$9)+(BT47/12*10*$F47*$G47*$I47*$M47*BU$9)</f>
        <v>0</v>
      </c>
      <c r="BV47" s="36">
        <v>0</v>
      </c>
      <c r="BW47" s="36">
        <f>(BV47/12*2*$E47*$G47*$I47*$M47*BW$9)+(BV47/12*10*$F47*$G47*$I47*$M47*BW$9)</f>
        <v>0</v>
      </c>
      <c r="BX47" s="37">
        <v>0</v>
      </c>
      <c r="BY47" s="36">
        <f>(BX47/12*2*$E47*$G47*$I47*$M47*BY$9)+(BX47/12*10*$F47*$G47*$I47*$M47*BY$9)</f>
        <v>0</v>
      </c>
      <c r="BZ47" s="40"/>
      <c r="CA47" s="36">
        <f>(BZ47/12*2*$E47*$G47*$I47*$M47*CA$9)+(BZ47/12*10*$F47*$G47*$I47*$M47*CA$9)</f>
        <v>0</v>
      </c>
      <c r="CB47" s="37"/>
      <c r="CC47" s="36">
        <f>(CB47/12*2*$E47*$G47*$I47*$M47*CC$9)+(CB47/12*10*$F47*$G47*$I47*$M47*CC$9)</f>
        <v>0</v>
      </c>
      <c r="CD47" s="37">
        <v>0</v>
      </c>
      <c r="CE47" s="36">
        <f>(CD47/12*2*$E47*$G47*$I47*$M47*CE$9)+(CD47/12*10*$F47*$G47*$I47*$M47*CE$9)</f>
        <v>0</v>
      </c>
      <c r="CF47" s="37">
        <v>0</v>
      </c>
      <c r="CG47" s="36">
        <f>(CF47/12*2*$E47*$G47*$I47*$N47*CG$9)+(CF47/12*10*$F47*$G47*$I47*$N47*CG$9)</f>
        <v>0</v>
      </c>
      <c r="CH47" s="37">
        <v>0</v>
      </c>
      <c r="CI47" s="36">
        <f>(CH47/12*2*$E47*$G47*$I47*$O47*$CI$9)+(CH47/12*10*$F47*$G47*$I47*$O47*$CI$9)</f>
        <v>0</v>
      </c>
      <c r="CJ47" s="36"/>
      <c r="CK47" s="36"/>
      <c r="CL47" s="36"/>
      <c r="CM47" s="36"/>
      <c r="CN47" s="41"/>
      <c r="CO47" s="41"/>
      <c r="CP47" s="42">
        <f t="shared" ref="CP47:CQ48" si="63">SUM(R47+P47+T47+V47+AB47+Z47+X47+AF47+AD47+AH47+AJ47+BF47+BJ47+AL47+AT47+AV47+BT47+BV47+BR47+BX47+BZ47+BN47+AN47+AP47+AR47+BH47+BL47+AX47+AZ47+BB47+BD47+BP47+CB47+CD47+CF47+CH47+CJ47+CL47)</f>
        <v>0</v>
      </c>
      <c r="CQ47" s="42">
        <f t="shared" si="63"/>
        <v>0</v>
      </c>
    </row>
    <row r="48" spans="1:95" s="3" customFormat="1" ht="18.75" hidden="1" customHeight="1" x14ac:dyDescent="0.25">
      <c r="A48" s="54"/>
      <c r="B48" s="54">
        <v>28</v>
      </c>
      <c r="C48" s="55" t="s">
        <v>173</v>
      </c>
      <c r="D48" s="64" t="s">
        <v>174</v>
      </c>
      <c r="E48" s="110">
        <v>16026</v>
      </c>
      <c r="F48" s="110">
        <v>16828</v>
      </c>
      <c r="G48" s="33">
        <v>1.36</v>
      </c>
      <c r="H48" s="34"/>
      <c r="I48" s="35">
        <v>1</v>
      </c>
      <c r="J48" s="111"/>
      <c r="K48" s="35"/>
      <c r="L48" s="97">
        <v>1.4</v>
      </c>
      <c r="M48" s="97">
        <v>1.68</v>
      </c>
      <c r="N48" s="97">
        <v>2.23</v>
      </c>
      <c r="O48" s="97">
        <v>2.57</v>
      </c>
      <c r="P48" s="36">
        <v>0</v>
      </c>
      <c r="Q48" s="36">
        <f>SUM(P48/12*2*$E48*$G48*$I48*$L48*$Q$9)+(P48/12*10*$F48*$G48*$I48*$L48*$Q$9)</f>
        <v>0</v>
      </c>
      <c r="R48" s="37"/>
      <c r="S48" s="36">
        <f>SUM(R48/12*2*$E48*$G48*$I48*$L48*S$9)+(R48/12*10*$F48*$G48*$I48*$L48*S$9)</f>
        <v>0</v>
      </c>
      <c r="T48" s="36">
        <v>37</v>
      </c>
      <c r="U48" s="36">
        <f>SUM(T48/12*2*$E48*$G48*$I48*$L48*U$9)+(T48/12*10*$F48*$G48*$I48*$L48*U$9)</f>
        <v>1176082.3946666666</v>
      </c>
      <c r="V48" s="37"/>
      <c r="W48" s="36">
        <f>SUM(V48/12*2*$E48*$G48*$I48*$L48*$W$9)+(V48/12*10*$F48*$G48*$I48*$L48*$W$9)</f>
        <v>0</v>
      </c>
      <c r="X48" s="37"/>
      <c r="Y48" s="38">
        <f>SUM(X48/12*2*$E48*$G48*$I48*$L48*Y$9)+(X48/12*10*$F48*$G48*$I48*$L48*Y$9)</f>
        <v>0</v>
      </c>
      <c r="Z48" s="37"/>
      <c r="AA48" s="36"/>
      <c r="AB48" s="37">
        <v>0</v>
      </c>
      <c r="AC48" s="36">
        <f>(AB48/12*2*$E48*$G48*$I48*$L48)+(AB48/12*10*$F48*$G48*$I48*$L48)</f>
        <v>0</v>
      </c>
      <c r="AD48" s="37">
        <v>0</v>
      </c>
      <c r="AE48" s="36">
        <f>(AD48/12*2*$E48*$G48*$I48*$L48*AE$9)+(AD48/12*10*$F48*$G48*$I48*$L48*AE$9)</f>
        <v>0</v>
      </c>
      <c r="AF48" s="37">
        <v>0</v>
      </c>
      <c r="AG48" s="36">
        <f>(AF48/12*2*$E48*$G48*$I48*$M48*AG$9)+(AF48/12*10*$F48*$G48*$I48*$M48*AG$9)</f>
        <v>0</v>
      </c>
      <c r="AH48" s="37"/>
      <c r="AI48" s="36">
        <f>(AH48/12*2*$E48*$G48*$I48*$M48*$AI$9)+(AH48/12*10*$F48*$G48*$I48*$M48*$AI$9)</f>
        <v>0</v>
      </c>
      <c r="AJ48" s="36">
        <v>0</v>
      </c>
      <c r="AK48" s="36">
        <v>0</v>
      </c>
      <c r="AL48" s="37"/>
      <c r="AM48" s="36">
        <f>SUM(AL48/12*2*$E48*$G48*$I48*$L48*AM$9)+(AL48/12*10*$F48*$G48*$I48*$L48*AM$9)</f>
        <v>0</v>
      </c>
      <c r="AN48" s="37"/>
      <c r="AO48" s="36">
        <f>SUM(AN48/12*2*$E48*$G48*$I48*$L48*$AE$9)+(AN48/12*10*$F48*$G48*$I48*$L48*$AE$9)</f>
        <v>0</v>
      </c>
      <c r="AP48" s="37"/>
      <c r="AQ48" s="36"/>
      <c r="AR48" s="37"/>
      <c r="AS48" s="36">
        <f>SUM(AR48/12*2*$E48*$G48*$I48*$L48*AS$9)+(AR48/12*10*$F48*$G48*$I48*$L48*AS$9)</f>
        <v>0</v>
      </c>
      <c r="AT48" s="37"/>
      <c r="AU48" s="36">
        <f>SUM(AT48/12*2*$E48*$G48*$I48*$L48*$AI$9)+(AT48/12*10*$F48*$G48*$I48*$L48*$AI$9)</f>
        <v>0</v>
      </c>
      <c r="AV48" s="37"/>
      <c r="AW48" s="36">
        <f>SUM(AV48/12*2*$E48*$G48*$I48*$L48*AW$9)+(AV48/12*10*$F48*$G48*$I48*$L48*AW$9)</f>
        <v>0</v>
      </c>
      <c r="AX48" s="37"/>
      <c r="AY48" s="36">
        <f>SUM(AX48/12*2*$E48*$G48*$I48*$L48*AY$9)+(AX48/12*10*$F48*$G48*$I48*$L48*AY$9)</f>
        <v>0</v>
      </c>
      <c r="AZ48" s="37"/>
      <c r="BA48" s="36">
        <f>SUM(AZ48/12*2*$E48*$G48*$I48*$L48*BA$9)+(AZ48/12*10*$F48*$G48*$I48*$L48*BA$9)</f>
        <v>0</v>
      </c>
      <c r="BB48" s="37"/>
      <c r="BC48" s="36">
        <f>SUM(BB48/12*2*$E48*$G48*$I48*$L48*BC$9)+(BB48/12*10*$F48*$G48*$I48*$L48*BC$9)</f>
        <v>0</v>
      </c>
      <c r="BD48" s="37"/>
      <c r="BE48" s="36">
        <f>SUM(BD48/12*2*$E48*$G48*$I48*$L48*BE$9)+(BD48/12*10*$F48*$G48*$I48*$L48*BE$9)</f>
        <v>0</v>
      </c>
      <c r="BF48" s="37"/>
      <c r="BG48" s="39">
        <f>(BF48/12*2*$E48*$G48*$I48*$M48*BG$9)+(BF48/12*10*$F48*$G48*$I48*$M48*BG$9)</f>
        <v>0</v>
      </c>
      <c r="BH48" s="37"/>
      <c r="BI48" s="36">
        <f>(BH48/12*2*$E48*$G48*$I48*$M48*BI$9)+(BH48/12*10*$F48*$G48*$I48*$M48*BI$9)</f>
        <v>0</v>
      </c>
      <c r="BJ48" s="37"/>
      <c r="BK48" s="36">
        <f>(BJ48/12*2*$E48*$G48*$I48*$M48*BK$9)+(BJ48/12*10*$F48*$G48*$I48*$M48*BK$9)</f>
        <v>0</v>
      </c>
      <c r="BL48" s="58">
        <v>20</v>
      </c>
      <c r="BM48" s="36">
        <f>(BL48/12*2*$E48*$G48*$I48*$M48*BM$9)+(BL48/12*10*$F48*$G48*$I48*$M48*BM$9)</f>
        <v>762864.25600000017</v>
      </c>
      <c r="BN48" s="37"/>
      <c r="BO48" s="36">
        <f>(BN48/12*10*$F48*$G48*$I48*$M48*BO$9)</f>
        <v>0</v>
      </c>
      <c r="BP48" s="39"/>
      <c r="BQ48" s="36"/>
      <c r="BR48" s="37"/>
      <c r="BS48" s="36">
        <f>(BR48/12*10*$F48*$G48*$I48*$M48*BS$9)</f>
        <v>0</v>
      </c>
      <c r="BT48" s="37"/>
      <c r="BU48" s="36">
        <f>(BT48/12*2*$E48*$G48*$I48*$M48*BU$9)+(BT48/12*10*$F48*$G48*$I48*$M48*BU$9)</f>
        <v>0</v>
      </c>
      <c r="BV48" s="36">
        <v>5</v>
      </c>
      <c r="BW48" s="36">
        <f>(BV48/12*2*$E48*$G48*$I48*$M48*BW$9)+(BV48/12*10*$F48*$G48*$I48*$M48*BW$9)</f>
        <v>190716.06400000004</v>
      </c>
      <c r="BX48" s="37"/>
      <c r="BY48" s="36">
        <f>(BX48/12*2*$E48*$G48*$I48*$M48*BY$9)+(BX48/12*10*$F48*$G48*$I48*$M48*BY$9)</f>
        <v>0</v>
      </c>
      <c r="BZ48" s="37"/>
      <c r="CA48" s="36">
        <f>(BZ48/12*2*$E48*$G48*$I48*$M48*CA$9)+(BZ48/12*10*$F48*$G48*$I48*$M48*CA$9)</f>
        <v>0</v>
      </c>
      <c r="CB48" s="37"/>
      <c r="CC48" s="36">
        <f>(CB48/12*2*$E48*$G48*$I48*$M48*CC$9)+(CB48/12*10*$F48*$G48*$I48*$M48*CC$9)</f>
        <v>0</v>
      </c>
      <c r="CD48" s="37"/>
      <c r="CE48" s="36">
        <f>(CD48/12*2*$E48*$G48*$I48*$M48*CE$9)+(CD48/12*10*$F48*$G48*$I48*$M48*CE$9)</f>
        <v>0</v>
      </c>
      <c r="CF48" s="37"/>
      <c r="CG48" s="36">
        <f>(CF48/12*2*$E48*$G48*$I48*$N48*CG$9)+(CF48/12*10*$F48*$G48*$I48*$N48*CG$9)</f>
        <v>0</v>
      </c>
      <c r="CH48" s="37"/>
      <c r="CI48" s="36">
        <f>(CH48/12*2*$E48*$G48*$I48*$O48*$CI$9)+(CH48/12*10*$F48*$G48*$I48*$O48*$CI$9)</f>
        <v>0</v>
      </c>
      <c r="CJ48" s="36"/>
      <c r="CK48" s="36"/>
      <c r="CL48" s="36"/>
      <c r="CM48" s="36"/>
      <c r="CN48" s="41"/>
      <c r="CO48" s="41"/>
      <c r="CP48" s="42">
        <f t="shared" si="63"/>
        <v>62</v>
      </c>
      <c r="CQ48" s="42">
        <f t="shared" si="63"/>
        <v>2129662.7146666669</v>
      </c>
    </row>
    <row r="49" spans="1:95" s="61" customFormat="1" ht="18.75" hidden="1" customHeight="1" x14ac:dyDescent="0.25">
      <c r="A49" s="140">
        <v>12</v>
      </c>
      <c r="B49" s="140"/>
      <c r="C49" s="125" t="s">
        <v>175</v>
      </c>
      <c r="D49" s="126" t="s">
        <v>176</v>
      </c>
      <c r="E49" s="110">
        <v>16026</v>
      </c>
      <c r="F49" s="134">
        <v>16828</v>
      </c>
      <c r="G49" s="138">
        <v>0.92</v>
      </c>
      <c r="H49" s="136"/>
      <c r="I49" s="128"/>
      <c r="J49" s="129"/>
      <c r="K49" s="29"/>
      <c r="L49" s="97">
        <v>1.4</v>
      </c>
      <c r="M49" s="97">
        <v>1.68</v>
      </c>
      <c r="N49" s="97">
        <v>2.23</v>
      </c>
      <c r="O49" s="97">
        <v>2.57</v>
      </c>
      <c r="P49" s="139">
        <f>SUM(P50:P60)</f>
        <v>8</v>
      </c>
      <c r="Q49" s="139">
        <f t="shared" ref="Q49:CD49" si="64">SUM(Q50:Q60)</f>
        <v>137255.71999999997</v>
      </c>
      <c r="R49" s="139">
        <f t="shared" si="64"/>
        <v>0</v>
      </c>
      <c r="S49" s="139">
        <f t="shared" si="64"/>
        <v>0</v>
      </c>
      <c r="T49" s="139">
        <f t="shared" si="64"/>
        <v>0</v>
      </c>
      <c r="U49" s="139">
        <f t="shared" si="64"/>
        <v>0</v>
      </c>
      <c r="V49" s="139">
        <f t="shared" si="64"/>
        <v>0</v>
      </c>
      <c r="W49" s="139">
        <f t="shared" si="64"/>
        <v>0</v>
      </c>
      <c r="X49" s="139">
        <f t="shared" si="64"/>
        <v>0</v>
      </c>
      <c r="Y49" s="139">
        <f t="shared" si="64"/>
        <v>0</v>
      </c>
      <c r="Z49" s="139">
        <f t="shared" si="64"/>
        <v>0</v>
      </c>
      <c r="AA49" s="139">
        <f t="shared" si="64"/>
        <v>0</v>
      </c>
      <c r="AB49" s="139">
        <f t="shared" si="64"/>
        <v>15</v>
      </c>
      <c r="AC49" s="139">
        <f t="shared" si="64"/>
        <v>340063.56999999995</v>
      </c>
      <c r="AD49" s="139">
        <f t="shared" si="64"/>
        <v>113</v>
      </c>
      <c r="AE49" s="139">
        <f t="shared" si="64"/>
        <v>15435589.347830666</v>
      </c>
      <c r="AF49" s="139">
        <f t="shared" si="64"/>
        <v>0</v>
      </c>
      <c r="AG49" s="139">
        <f t="shared" si="64"/>
        <v>0</v>
      </c>
      <c r="AH49" s="139">
        <f>SUM(AH50:AH60)</f>
        <v>46</v>
      </c>
      <c r="AI49" s="139">
        <f t="shared" si="64"/>
        <v>661257.28480000002</v>
      </c>
      <c r="AJ49" s="139">
        <v>20</v>
      </c>
      <c r="AK49" s="139">
        <v>296652.22000000009</v>
      </c>
      <c r="AL49" s="139">
        <f t="shared" si="64"/>
        <v>0</v>
      </c>
      <c r="AM49" s="139">
        <f t="shared" si="64"/>
        <v>0</v>
      </c>
      <c r="AN49" s="139">
        <f t="shared" si="64"/>
        <v>0</v>
      </c>
      <c r="AO49" s="139">
        <f t="shared" si="64"/>
        <v>0</v>
      </c>
      <c r="AP49" s="139">
        <f t="shared" si="64"/>
        <v>0</v>
      </c>
      <c r="AQ49" s="139">
        <f t="shared" si="64"/>
        <v>0</v>
      </c>
      <c r="AR49" s="139">
        <f t="shared" si="64"/>
        <v>0</v>
      </c>
      <c r="AS49" s="139">
        <f t="shared" si="64"/>
        <v>0</v>
      </c>
      <c r="AT49" s="139">
        <f t="shared" si="64"/>
        <v>0</v>
      </c>
      <c r="AU49" s="139">
        <f t="shared" si="64"/>
        <v>0</v>
      </c>
      <c r="AV49" s="139">
        <f t="shared" si="64"/>
        <v>0</v>
      </c>
      <c r="AW49" s="139">
        <f t="shared" si="64"/>
        <v>0</v>
      </c>
      <c r="AX49" s="139">
        <f t="shared" si="64"/>
        <v>0</v>
      </c>
      <c r="AY49" s="139">
        <f t="shared" si="64"/>
        <v>0</v>
      </c>
      <c r="AZ49" s="139">
        <f t="shared" si="64"/>
        <v>0</v>
      </c>
      <c r="BA49" s="139">
        <f t="shared" si="64"/>
        <v>0</v>
      </c>
      <c r="BB49" s="139">
        <f t="shared" si="64"/>
        <v>0</v>
      </c>
      <c r="BC49" s="139">
        <f t="shared" si="64"/>
        <v>0</v>
      </c>
      <c r="BD49" s="139">
        <f t="shared" si="64"/>
        <v>122</v>
      </c>
      <c r="BE49" s="139">
        <f t="shared" si="64"/>
        <v>1826559.7116666664</v>
      </c>
      <c r="BF49" s="139">
        <f t="shared" si="64"/>
        <v>205</v>
      </c>
      <c r="BG49" s="139">
        <f t="shared" si="64"/>
        <v>21060381.448455997</v>
      </c>
      <c r="BH49" s="139">
        <f t="shared" si="64"/>
        <v>240</v>
      </c>
      <c r="BI49" s="139">
        <f t="shared" si="64"/>
        <v>3946985.5879999995</v>
      </c>
      <c r="BJ49" s="139">
        <f t="shared" si="64"/>
        <v>0</v>
      </c>
      <c r="BK49" s="139">
        <f t="shared" si="64"/>
        <v>0</v>
      </c>
      <c r="BL49" s="139">
        <f t="shared" si="64"/>
        <v>0</v>
      </c>
      <c r="BM49" s="139">
        <f t="shared" si="64"/>
        <v>0</v>
      </c>
      <c r="BN49" s="139">
        <f t="shared" si="64"/>
        <v>63</v>
      </c>
      <c r="BO49" s="139">
        <f t="shared" si="64"/>
        <v>916511.77799999993</v>
      </c>
      <c r="BP49" s="139">
        <f t="shared" si="64"/>
        <v>0</v>
      </c>
      <c r="BQ49" s="139">
        <f t="shared" si="64"/>
        <v>0</v>
      </c>
      <c r="BR49" s="139">
        <f t="shared" si="64"/>
        <v>0</v>
      </c>
      <c r="BS49" s="139">
        <f t="shared" si="64"/>
        <v>0</v>
      </c>
      <c r="BT49" s="139">
        <f t="shared" si="64"/>
        <v>0</v>
      </c>
      <c r="BU49" s="139">
        <f t="shared" si="64"/>
        <v>0</v>
      </c>
      <c r="BV49" s="139">
        <f t="shared" si="64"/>
        <v>8</v>
      </c>
      <c r="BW49" s="139">
        <f t="shared" si="64"/>
        <v>158459.22399999999</v>
      </c>
      <c r="BX49" s="139">
        <f t="shared" si="64"/>
        <v>6</v>
      </c>
      <c r="BY49" s="139">
        <f t="shared" si="64"/>
        <v>101294.3204</v>
      </c>
      <c r="BZ49" s="139">
        <f t="shared" si="64"/>
        <v>0</v>
      </c>
      <c r="CA49" s="139">
        <f t="shared" si="64"/>
        <v>0</v>
      </c>
      <c r="CB49" s="139">
        <f t="shared" si="64"/>
        <v>12</v>
      </c>
      <c r="CC49" s="139">
        <f t="shared" si="64"/>
        <v>97873.119999999981</v>
      </c>
      <c r="CD49" s="139">
        <f t="shared" si="64"/>
        <v>10</v>
      </c>
      <c r="CE49" s="139">
        <f t="shared" ref="CE49:CO49" si="65">SUM(CE50:CE60)</f>
        <v>216541.24239999999</v>
      </c>
      <c r="CF49" s="139">
        <f t="shared" si="65"/>
        <v>50</v>
      </c>
      <c r="CG49" s="139">
        <f t="shared" si="65"/>
        <v>2159245.0733333332</v>
      </c>
      <c r="CH49" s="139">
        <f t="shared" si="65"/>
        <v>2</v>
      </c>
      <c r="CI49" s="139">
        <f t="shared" si="65"/>
        <v>83234.607133333309</v>
      </c>
      <c r="CJ49" s="139">
        <f t="shared" si="65"/>
        <v>0</v>
      </c>
      <c r="CK49" s="139">
        <f t="shared" si="65"/>
        <v>0</v>
      </c>
      <c r="CL49" s="139">
        <f t="shared" si="65"/>
        <v>0</v>
      </c>
      <c r="CM49" s="139">
        <f t="shared" si="65"/>
        <v>0</v>
      </c>
      <c r="CN49" s="139">
        <f t="shared" si="65"/>
        <v>0</v>
      </c>
      <c r="CO49" s="139">
        <f t="shared" si="65"/>
        <v>0</v>
      </c>
      <c r="CP49" s="139">
        <f>SUM(CP50:CP60)</f>
        <v>920</v>
      </c>
      <c r="CQ49" s="139">
        <f>SUM(CQ50:CQ60)</f>
        <v>47437904.256019995</v>
      </c>
    </row>
    <row r="50" spans="1:95" s="3" customFormat="1" ht="30" hidden="1" customHeight="1" x14ac:dyDescent="0.25">
      <c r="A50" s="54"/>
      <c r="B50" s="54">
        <v>29</v>
      </c>
      <c r="C50" s="55" t="s">
        <v>177</v>
      </c>
      <c r="D50" s="64" t="s">
        <v>178</v>
      </c>
      <c r="E50" s="110">
        <v>16026</v>
      </c>
      <c r="F50" s="110">
        <v>16828</v>
      </c>
      <c r="G50" s="33">
        <v>5.74</v>
      </c>
      <c r="H50" s="62">
        <v>0.11260000000000001</v>
      </c>
      <c r="I50" s="35">
        <v>1</v>
      </c>
      <c r="J50" s="111"/>
      <c r="K50" s="35"/>
      <c r="L50" s="65">
        <v>1.4</v>
      </c>
      <c r="M50" s="65">
        <v>1.68</v>
      </c>
      <c r="N50" s="65">
        <v>2.23</v>
      </c>
      <c r="O50" s="65">
        <v>2.57</v>
      </c>
      <c r="P50" s="36"/>
      <c r="Q50" s="48">
        <f>(P50/12*2*$E50*$G50*((1-$H50)+$H50*$L50*$I50))+(P50/12*10*$F50*$G50*((1-$H50)+$H50*$L50*$I50))</f>
        <v>0</v>
      </c>
      <c r="R50" s="37"/>
      <c r="S50" s="48">
        <f>(R50/12*2*$E50*$G50*((1-$H50)+$H50*$L50*$I50))+(R50/12*10*$F50*$G50*((1-$H50)+$H50*$L50*$I50))</f>
        <v>0</v>
      </c>
      <c r="T50" s="36"/>
      <c r="U50" s="48">
        <f>(T50/12*2*$E50*$G50*((1-$H50)+$H50*$L50*$I50))+(T50/12*10*$F50*$G50*((1-$H50)+$H50*$L50*$I50))</f>
        <v>0</v>
      </c>
      <c r="V50" s="37"/>
      <c r="W50" s="48">
        <f>(V50/12*2*$E50*$G50*((1-$H50)+$H50*$L50*$I50))+(V50/12*10*$F50*$G50*((1-$H50)+$H50*$L50*$I50))</f>
        <v>0</v>
      </c>
      <c r="X50" s="37"/>
      <c r="Y50" s="48">
        <f>(X50/12*2*$E50*$G50*((1-$H50)+$H50*$L50*$I50))+(X50/12*10*$F50*$G50*((1-$H50)+$H50*$L50*$I50))</f>
        <v>0</v>
      </c>
      <c r="Z50" s="37"/>
      <c r="AA50" s="48">
        <f>(Z50/12*2*$E50*$G50*((1-$H50)+$H50*$L50*$I50))+(Z50/12*10*$F50*$G50*((1-$H50)+$H50*$L50*$I50))</f>
        <v>0</v>
      </c>
      <c r="AB50" s="37"/>
      <c r="AC50" s="36"/>
      <c r="AD50" s="37"/>
      <c r="AE50" s="48">
        <f>(AD50/12*2*$E50*$G50*((1-$H50)+$H50*$L50*$I50))+(AD50/12*10*$F50*$G50*((1-$H50)+$H50*$L50*$I50))</f>
        <v>0</v>
      </c>
      <c r="AF50" s="37"/>
      <c r="AG50" s="48">
        <f>(AF50/12*2*$E50*$G50*((1-$H50)+$H50*$M50*$I50))+(AF50/12*10*$F50*$G50*((1-$H50)+$H50*$M50*$I50))</f>
        <v>0</v>
      </c>
      <c r="AH50" s="36">
        <v>0</v>
      </c>
      <c r="AI50" s="48">
        <f>(AH50/12*2*$E50*$G50*((1-$H50)+$H50*$M50*$I50))+(AH50/12*10*$F50*$G50*((1-$H50)+$H50*$M50*$I50))</f>
        <v>0</v>
      </c>
      <c r="AJ50" s="48">
        <v>0</v>
      </c>
      <c r="AK50" s="48">
        <v>0</v>
      </c>
      <c r="AL50" s="37"/>
      <c r="AM50" s="36"/>
      <c r="AN50" s="37"/>
      <c r="AO50" s="36"/>
      <c r="AP50" s="37"/>
      <c r="AQ50" s="36"/>
      <c r="AR50" s="37"/>
      <c r="AS50" s="48"/>
      <c r="AT50" s="37"/>
      <c r="AU50" s="36"/>
      <c r="AV50" s="37"/>
      <c r="AW50" s="48"/>
      <c r="AX50" s="37"/>
      <c r="AY50" s="48"/>
      <c r="AZ50" s="37"/>
      <c r="BA50" s="48"/>
      <c r="BB50" s="37"/>
      <c r="BC50" s="48"/>
      <c r="BD50" s="37"/>
      <c r="BE50" s="48">
        <f>(BD50/12*2*$E50*$G50*((1-$H50)+$H50*$L50*$I50*BE$9))+(BD50/12*10*$F50*$G50*((1-$H50)+$H50*$L50*$I50*BE$9))</f>
        <v>0</v>
      </c>
      <c r="BF50" s="36"/>
      <c r="BG50" s="48">
        <f>(BF50/12*2*$E50*$G50*((1-$H50)+$H50*$M50*$I50*BG$9))+(BF50/12*10*$F50*$G50*((1-$H50)+$H50*$M50*$I50*BG$9))</f>
        <v>0</v>
      </c>
      <c r="BH50" s="63"/>
      <c r="BI50" s="48">
        <f>(BH50/12*2*$E50*$G50*((1-$H50)+$H50*$M50*$I50*BI$9))+(BH50/12*10*$F50*$G50*((1-$H50)+$H50*$M50*$I50*BI$9))</f>
        <v>0</v>
      </c>
      <c r="BJ50" s="37"/>
      <c r="BK50" s="48">
        <f>(BJ50/12*2*$E50*$G50*((1-$H50)+$H50*$M50*$I50*BK$9))+(BJ50/12*10*$F50*$G50*((1-$H50)+$H50*$M50*$I50*BK$9))</f>
        <v>0</v>
      </c>
      <c r="BL50" s="37"/>
      <c r="BM50" s="48">
        <f>(BL50/12*2*$E50*$G50*((1-$H50)+$H50*$M50*$I50*BM$9))+(BL50/12*10*$F50*$G50*((1-$H50)+$H50*$M50*$I50*BM$9))</f>
        <v>0</v>
      </c>
      <c r="BN50" s="36"/>
      <c r="BO50" s="48">
        <f>(BN50/12*10*$F50*$G50*((1-$H50)+$H50*$M50*$I50*BO$9))</f>
        <v>0</v>
      </c>
      <c r="BP50" s="39">
        <v>0</v>
      </c>
      <c r="BQ50" s="48"/>
      <c r="BR50" s="37"/>
      <c r="BS50" s="48">
        <f>(BR50/12*10*$F50*$G50*((1-$H50)+$H50*$M50*$I50*BS$9))</f>
        <v>0</v>
      </c>
      <c r="BT50" s="37"/>
      <c r="BU50" s="48">
        <f>(BT50/12*2*$E50*$G50*((1-$H50)+$H50*$M50*$I50*BU$9))+(BT50/12*10*$F50*$G50*((1-$H50)+$H50*$M50*$I50*BU$9))</f>
        <v>0</v>
      </c>
      <c r="BV50" s="36"/>
      <c r="BW50" s="48">
        <f>(BV50/12*2*$E50*$G50*((1-$H50)+$H50*$M50*$I50*BW$9))+(BV50/12*10*$F50*$G50*((1-$H50)+$H50*$M50*$I50*BW$9))</f>
        <v>0</v>
      </c>
      <c r="BX50" s="37"/>
      <c r="BY50" s="48">
        <f>(BX50/12*2*$E50*$G50*((1-$H50)+$H50*$M50*$I50*BY$9))+(BX50/12*10*$F50*$G50*((1-$H50)+$H50*$M50*$I50*BY$9))</f>
        <v>0</v>
      </c>
      <c r="BZ50" s="37"/>
      <c r="CA50" s="48">
        <f>(BZ50/12*2*$E50*$G50*((1-$H50)+$H50*$M50*$I50*CA$9))+(BZ50/12*10*$F50*$G50*((1-$H50)+$H50*$M50*$I50*CA$9))</f>
        <v>0</v>
      </c>
      <c r="CB50" s="37"/>
      <c r="CC50" s="48">
        <f>(CB50/12*2*$E50*$G50*((1-$H50)+$H50*$M50*$I50*CC$9))+(CB50/12*10*$F50*$G50*((1-$H50)+$H50*$M50*$I50*CC$9))</f>
        <v>0</v>
      </c>
      <c r="CD50" s="37"/>
      <c r="CE50" s="48">
        <f>(CD50/12*2*$E50*$G50*((1-$H50)+$H50*$M50*$I50*CE$9))+(CD50/12*10*$F50*$G50*((1-$H50)+$H50*$M50*$I50*CE$9))</f>
        <v>0</v>
      </c>
      <c r="CF50" s="37"/>
      <c r="CG50" s="48">
        <f>(CF50/12*2*$E50*$G50*((1-$H50)+$H50*$N50*$I50*CG$9))+(CF50/12*10*$F50*$G50*((1-$H50)+$H50*$N50*$I50*CG$9))</f>
        <v>0</v>
      </c>
      <c r="CH50" s="37"/>
      <c r="CI50" s="48">
        <f>(CH50/12*2*$E50*$G50*((1-$H50)+$H50*$O50*$I50))+(CH50/12*10*$F50*$G50*((1-$H50)+$H50*$O50*$I50))</f>
        <v>0</v>
      </c>
      <c r="CJ50" s="36"/>
      <c r="CK50" s="36"/>
      <c r="CL50" s="36"/>
      <c r="CM50" s="36"/>
      <c r="CN50" s="41"/>
      <c r="CO50" s="41"/>
      <c r="CP50" s="42">
        <f t="shared" ref="CP50:CQ60" si="66">SUM(R50+P50+T50+V50+AB50+Z50+X50+AF50+AD50+AH50+AJ50+BF50+BJ50+AL50+AT50+AV50+BT50+BV50+BR50+BX50+BZ50+BN50+AN50+AP50+AR50+BH50+BL50+AX50+AZ50+BB50+BD50+BP50+CB50+CD50+CF50+CH50+CJ50+CL50)</f>
        <v>0</v>
      </c>
      <c r="CQ50" s="42">
        <f t="shared" si="66"/>
        <v>0</v>
      </c>
    </row>
    <row r="51" spans="1:95" s="3" customFormat="1" ht="30" hidden="1" customHeight="1" x14ac:dyDescent="0.25">
      <c r="A51" s="54"/>
      <c r="B51" s="54">
        <v>30</v>
      </c>
      <c r="C51" s="55" t="s">
        <v>179</v>
      </c>
      <c r="D51" s="64" t="s">
        <v>180</v>
      </c>
      <c r="E51" s="110">
        <v>16026</v>
      </c>
      <c r="F51" s="110">
        <v>16828</v>
      </c>
      <c r="G51" s="33">
        <v>8.4</v>
      </c>
      <c r="H51" s="62">
        <v>7.8299999999999995E-2</v>
      </c>
      <c r="I51" s="35">
        <v>1</v>
      </c>
      <c r="J51" s="111"/>
      <c r="K51" s="35"/>
      <c r="L51" s="65">
        <v>1.4</v>
      </c>
      <c r="M51" s="65">
        <v>1.68</v>
      </c>
      <c r="N51" s="65">
        <v>2.23</v>
      </c>
      <c r="O51" s="65">
        <v>2.57</v>
      </c>
      <c r="P51" s="36"/>
      <c r="Q51" s="48">
        <f>(P51/12*2*$E51*$G51*((1-$H51)+$H51*$L51*$I51))+(P51/12*10*$F51*$G51*((1-$H51)+$H51*$L51*$I51))</f>
        <v>0</v>
      </c>
      <c r="R51" s="37"/>
      <c r="S51" s="48">
        <f>(R51/12*2*$E51*$G51*((1-$H51)+$H51*$L51*$I51))+(R51/12*10*$F51*$G51*((1-$H51)+$H51*$L51*$I51))</f>
        <v>0</v>
      </c>
      <c r="T51" s="36"/>
      <c r="U51" s="48">
        <f>(T51/12*2*$E51*$G51*((1-$H51)+$H51*$L51*$I51))+(T51/12*10*$F51*$G51*((1-$H51)+$H51*$L51*$I51))</f>
        <v>0</v>
      </c>
      <c r="V51" s="37"/>
      <c r="W51" s="48">
        <f>(V51/12*2*$E51*$G51*((1-$H51)+$H51*$L51*$I51))+(V51/12*10*$F51*$G51*((1-$H51)+$H51*$L51*$I51))</f>
        <v>0</v>
      </c>
      <c r="X51" s="37"/>
      <c r="Y51" s="48">
        <f>(X51/12*2*$E51*$G51*((1-$H51)+$H51*$L51*$I51))+(X51/12*10*$F51*$G51*((1-$H51)+$H51*$L51*$I51))</f>
        <v>0</v>
      </c>
      <c r="Z51" s="37"/>
      <c r="AA51" s="48">
        <f>(Z51/12*2*$E51*$G51*((1-$H51)+$H51*$L51*$I51))+(Z51/12*10*$F51*$G51*((1-$H51)+$H51*$L51*$I51))</f>
        <v>0</v>
      </c>
      <c r="AB51" s="36">
        <v>0</v>
      </c>
      <c r="AC51" s="36"/>
      <c r="AD51" s="39">
        <f>103-5</f>
        <v>98</v>
      </c>
      <c r="AE51" s="48">
        <f>(AD51/12*2*$E51*$G51*((1-$H51)+$H51*$L51*$I51))+(AD51/12*10*$F51*$G51*((1-$H51)+$H51*$L51*$I51))</f>
        <v>14173198.919264</v>
      </c>
      <c r="AF51" s="37">
        <v>0</v>
      </c>
      <c r="AG51" s="48">
        <f>(AF51/12*2*$E51*$G51*((1-$H51)+$H51*$M51*$I51))+(AF51/12*10*$F51*$G51*((1-$H51)+$H51*$M51*$I51))</f>
        <v>0</v>
      </c>
      <c r="AH51" s="36">
        <v>0</v>
      </c>
      <c r="AI51" s="48">
        <f>(AH51/12*2*$E51*$G51*((1-$H51)+$H51*$M51*$I51))+(AH51/12*10*$F51*$G51*((1-$H51)+$H51*$M51*$I51))</f>
        <v>0</v>
      </c>
      <c r="AJ51" s="48">
        <v>0</v>
      </c>
      <c r="AK51" s="48">
        <v>0</v>
      </c>
      <c r="AL51" s="37"/>
      <c r="AM51" s="36"/>
      <c r="AN51" s="37"/>
      <c r="AO51" s="36"/>
      <c r="AP51" s="37"/>
      <c r="AQ51" s="36"/>
      <c r="AR51" s="37"/>
      <c r="AS51" s="48"/>
      <c r="AT51" s="37"/>
      <c r="AU51" s="36"/>
      <c r="AV51" s="37"/>
      <c r="AW51" s="48"/>
      <c r="AX51" s="37"/>
      <c r="AY51" s="48"/>
      <c r="AZ51" s="37"/>
      <c r="BA51" s="48"/>
      <c r="BB51" s="37"/>
      <c r="BC51" s="48"/>
      <c r="BD51" s="37"/>
      <c r="BE51" s="48">
        <f>(BD51/12*2*$E51*$G51*((1-$H51)+$H51*$L51*$I51*BE$9))+(BD51/12*10*$F51*$G51*((1-$H51)+$H51*$L51*$I51*BE$9))</f>
        <v>0</v>
      </c>
      <c r="BF51" s="36">
        <v>135</v>
      </c>
      <c r="BG51" s="48">
        <f>(BF51/12*2*$E51*$G51*((1-$H51)+$H51*$M51*$I51*BG$9))+(BF51/12*10*$F51*$G51*((1-$H51)+$H51*$M51*$I51*BG$9))</f>
        <v>19939356.077255998</v>
      </c>
      <c r="BH51" s="63"/>
      <c r="BI51" s="48">
        <f>(BH51/12*2*$E51*$G51*((1-$H51)+$H51*$M51*$I51*BI$9))+(BH51/12*10*$F51*$G51*((1-$H51)+$H51*$M51*$I51*BI$9))</f>
        <v>0</v>
      </c>
      <c r="BJ51" s="37"/>
      <c r="BK51" s="48">
        <f>(BJ51/12*2*$E51*$G51*((1-$H51)+$H51*$M51*$I51*BK$9))+(BJ51/12*10*$F51*$G51*((1-$H51)+$H51*$M51*$I51*BK$9))</f>
        <v>0</v>
      </c>
      <c r="BL51" s="37"/>
      <c r="BM51" s="48">
        <f>(BL51/12*2*$E51*$G51*((1-$H51)+$H51*$M51*$I51*BM$9))+(BL51/12*10*$F51*$G51*((1-$H51)+$H51*$M51*$I51*BM$9))</f>
        <v>0</v>
      </c>
      <c r="BN51" s="37"/>
      <c r="BO51" s="48">
        <f>(BN51/12*10*$F51*$G51*((1-$H51)+$H51*$M51*$I51*BO$9))</f>
        <v>0</v>
      </c>
      <c r="BP51" s="39">
        <v>0</v>
      </c>
      <c r="BQ51" s="48"/>
      <c r="BR51" s="37"/>
      <c r="BS51" s="48">
        <f>(BR51/12*10*$F51*$G51*((1-$H51)+$H51*$M51*$I51*BS$9))</f>
        <v>0</v>
      </c>
      <c r="BT51" s="37"/>
      <c r="BU51" s="48">
        <f>(BT51/12*2*$E51*$G51*((1-$H51)+$H51*$M51*$I51*BU$9))+(BT51/12*10*$F51*$G51*((1-$H51)+$H51*$M51*$I51*BU$9))</f>
        <v>0</v>
      </c>
      <c r="BV51" s="36"/>
      <c r="BW51" s="48">
        <f>(BV51/12*2*$E51*$G51*((1-$H51)+$H51*$M51*$I51*BW$9))+(BV51/12*10*$F51*$G51*((1-$H51)+$H51*$M51*$I51*BW$9))</f>
        <v>0</v>
      </c>
      <c r="BX51" s="37"/>
      <c r="BY51" s="48">
        <f>(BX51/12*2*$E51*$G51*((1-$H51)+$H51*$M51*$I51*BY$9))+(BX51/12*10*$F51*$G51*((1-$H51)+$H51*$M51*$I51*BY$9))</f>
        <v>0</v>
      </c>
      <c r="BZ51" s="37"/>
      <c r="CA51" s="48">
        <f>(BZ51/12*2*$E51*$G51*((1-$H51)+$H51*$M51*$I51*CA$9))+(BZ51/12*10*$F51*$G51*((1-$H51)+$H51*$M51*$I51*CA$9))</f>
        <v>0</v>
      </c>
      <c r="CB51" s="37"/>
      <c r="CC51" s="48">
        <f>(CB51/12*2*$E51*$G51*((1-$H51)+$H51*$M51*$I51*CC$9))+(CB51/12*10*$F51*$G51*((1-$H51)+$H51*$M51*$I51*CC$9))</f>
        <v>0</v>
      </c>
      <c r="CD51" s="37"/>
      <c r="CE51" s="48">
        <f>(CD51/12*2*$E51*$G51*((1-$H51)+$H51*$M51*$I51*CE$9))+(CD51/12*10*$F51*$G51*((1-$H51)+$H51*$M51*$I51*CE$9))</f>
        <v>0</v>
      </c>
      <c r="CF51" s="37"/>
      <c r="CG51" s="48">
        <f>(CF51/12*2*$E51*$G51*((1-$H51)+$H51*$N51*$I51*CG$9))+(CF51/12*10*$F51*$G51*((1-$H51)+$H51*$N51*$I51*CG$9))</f>
        <v>0</v>
      </c>
      <c r="CH51" s="37"/>
      <c r="CI51" s="48">
        <f>(CH51/12*2*$E51*$G51*((1-$H51)+$H51*$O51*$I51))+(CH51/12*10*$F51*$G51*((1-$H51)+$H51*$O51*$I51))</f>
        <v>0</v>
      </c>
      <c r="CJ51" s="36"/>
      <c r="CK51" s="36"/>
      <c r="CL51" s="36"/>
      <c r="CM51" s="36"/>
      <c r="CN51" s="41"/>
      <c r="CO51" s="41"/>
      <c r="CP51" s="42">
        <f t="shared" si="66"/>
        <v>233</v>
      </c>
      <c r="CQ51" s="42">
        <f t="shared" si="66"/>
        <v>34112554.996519998</v>
      </c>
    </row>
    <row r="52" spans="1:95" s="3" customFormat="1" ht="30" hidden="1" customHeight="1" x14ac:dyDescent="0.25">
      <c r="A52" s="54"/>
      <c r="B52" s="54">
        <v>31</v>
      </c>
      <c r="C52" s="55" t="s">
        <v>181</v>
      </c>
      <c r="D52" s="64" t="s">
        <v>182</v>
      </c>
      <c r="E52" s="110">
        <v>16026</v>
      </c>
      <c r="F52" s="110">
        <v>16828</v>
      </c>
      <c r="G52" s="33">
        <v>12.15</v>
      </c>
      <c r="H52" s="62">
        <v>5.2999999999999999E-2</v>
      </c>
      <c r="I52" s="35">
        <v>1</v>
      </c>
      <c r="J52" s="111"/>
      <c r="K52" s="35"/>
      <c r="L52" s="65">
        <v>1.4</v>
      </c>
      <c r="M52" s="65">
        <v>1.68</v>
      </c>
      <c r="N52" s="65">
        <v>2.23</v>
      </c>
      <c r="O52" s="65">
        <v>2.57</v>
      </c>
      <c r="P52" s="36"/>
      <c r="Q52" s="48">
        <f>(P52/12*2*$E52*$G52*((1-$H52)+$H52*$L52*$I52))+(P52/12*10*$F52*$G52*((1-$H52)+$H52*$L52*$I52))</f>
        <v>0</v>
      </c>
      <c r="R52" s="37"/>
      <c r="S52" s="48">
        <f>(R52/12*2*$E52*$G52*((1-$H52)+$H52*$L52*$I52))+(R52/12*10*$F52*$G52*((1-$H52)+$H52*$L52*$I52))</f>
        <v>0</v>
      </c>
      <c r="T52" s="36"/>
      <c r="U52" s="48">
        <f>(T52/12*2*$E52*$G52*((1-$H52)+$H52*$L52*$I52))+(T52/12*10*$F52*$G52*((1-$H52)+$H52*$L52*$I52))</f>
        <v>0</v>
      </c>
      <c r="V52" s="37"/>
      <c r="W52" s="48">
        <f>(V52/12*2*$E52*$G52*((1-$H52)+$H52*$L52*$I52))+(V52/12*10*$F52*$G52*((1-$H52)+$H52*$L52*$I52))</f>
        <v>0</v>
      </c>
      <c r="X52" s="37"/>
      <c r="Y52" s="48">
        <f>(X52/12*2*$E52*$G52*((1-$H52)+$H52*$L52*$I52))+(X52/12*10*$F52*$G52*((1-$H52)+$H52*$L52*$I52))</f>
        <v>0</v>
      </c>
      <c r="Z52" s="37"/>
      <c r="AA52" s="48">
        <f>(Z52/12*2*$E52*$G52*((1-$H52)+$H52*$L52*$I52))+(Z52/12*10*$F52*$G52*((1-$H52)+$H52*$L52*$I52))</f>
        <v>0</v>
      </c>
      <c r="AB52" s="36"/>
      <c r="AC52" s="36"/>
      <c r="AD52" s="39">
        <v>5</v>
      </c>
      <c r="AE52" s="48">
        <f>(AD52/12*2*$E52*$G52*((1-$H52)+$H52*$L52*$I52))+(AD52/12*10*$F52*$G52*((1-$H52)+$H52*$L52*$I52))</f>
        <v>1035681.3819</v>
      </c>
      <c r="AF52" s="37"/>
      <c r="AG52" s="48">
        <f>(AF52/12*2*$E52*$G52*((1-$H52)+$H52*$M52*$I52))+(AF52/12*10*$F52*$G52*((1-$H52)+$H52*$M52*$I52))</f>
        <v>0</v>
      </c>
      <c r="AH52" s="36"/>
      <c r="AI52" s="48">
        <f>(AH52/12*2*$E52*$G52*((1-$H52)+$H52*$M52*$I52))+(AH52/12*10*$F52*$G52*((1-$H52)+$H52*$M52*$I52))</f>
        <v>0</v>
      </c>
      <c r="AJ52" s="48">
        <v>0</v>
      </c>
      <c r="AK52" s="48">
        <v>0</v>
      </c>
      <c r="AL52" s="37"/>
      <c r="AM52" s="36"/>
      <c r="AN52" s="37"/>
      <c r="AO52" s="36"/>
      <c r="AP52" s="37"/>
      <c r="AQ52" s="36"/>
      <c r="AR52" s="37"/>
      <c r="AS52" s="48"/>
      <c r="AT52" s="37"/>
      <c r="AU52" s="36"/>
      <c r="AV52" s="37"/>
      <c r="AW52" s="48"/>
      <c r="AX52" s="37"/>
      <c r="AY52" s="48"/>
      <c r="AZ52" s="37"/>
      <c r="BA52" s="48"/>
      <c r="BB52" s="37"/>
      <c r="BC52" s="48"/>
      <c r="BD52" s="37"/>
      <c r="BE52" s="48">
        <f>(BD52/12*2*$E52*$G52*((1-$H52)+$H52*$L52*$I52*BE$9))+(BD52/12*10*$F52*$G52*((1-$H52)+$H52*$L52*$I52*BE$9))</f>
        <v>0</v>
      </c>
      <c r="BF52" s="31">
        <v>0</v>
      </c>
      <c r="BG52" s="48">
        <f>(BF52/12*2*$E52*$G52*((1-$H52)+$H52*$M52*$I52*BG$9))+(BF52/12*10*$F52*$G52*((1-$H52)+$H52*$M52*$I52*BG$9))</f>
        <v>0</v>
      </c>
      <c r="BH52" s="63"/>
      <c r="BI52" s="48">
        <f>(BH52/12*2*$E52*$G52*((1-$H52)+$H52*$M52*$I52*BI$9))+(BH52/12*10*$F52*$G52*((1-$H52)+$H52*$M52*$I52*BI$9))</f>
        <v>0</v>
      </c>
      <c r="BJ52" s="37"/>
      <c r="BK52" s="48">
        <f>(BJ52/12*2*$E52*$G52*((1-$H52)+$H52*$M52*$I52*BK$9))+(BJ52/12*10*$F52*$G52*((1-$H52)+$H52*$M52*$I52*BK$9))</f>
        <v>0</v>
      </c>
      <c r="BL52" s="37"/>
      <c r="BM52" s="48">
        <f>(BL52/12*2*$E52*$G52*((1-$H52)+$H52*$M52*$I52*BM$9))+(BL52/12*10*$F52*$G52*((1-$H52)+$H52*$M52*$I52*BM$9))</f>
        <v>0</v>
      </c>
      <c r="BN52" s="37"/>
      <c r="BO52" s="48">
        <f>(BN52/12*10*$F52*$G52*((1-$H52)+$H52*$M52*$I52*BO$9))</f>
        <v>0</v>
      </c>
      <c r="BP52" s="39"/>
      <c r="BQ52" s="48"/>
      <c r="BR52" s="37"/>
      <c r="BS52" s="48">
        <f>(BR52/12*10*$F52*$G52*((1-$H52)+$H52*$M52*$I52*BS$9))</f>
        <v>0</v>
      </c>
      <c r="BT52" s="37"/>
      <c r="BU52" s="48">
        <f>(BT52/12*2*$E52*$G52*((1-$H52)+$H52*$M52*$I52*BU$9))+(BT52/12*10*$F52*$G52*((1-$H52)+$H52*$M52*$I52*BU$9))</f>
        <v>0</v>
      </c>
      <c r="BV52" s="36"/>
      <c r="BW52" s="48">
        <f>(BV52/12*2*$E52*$G52*((1-$H52)+$H52*$M52*$I52*BW$9))+(BV52/12*10*$F52*$G52*((1-$H52)+$H52*$M52*$I52*BW$9))</f>
        <v>0</v>
      </c>
      <c r="BX52" s="37"/>
      <c r="BY52" s="48">
        <f>(BX52/12*2*$E52*$G52*((1-$H52)+$H52*$M52*$I52*BY$9))+(BX52/12*10*$F52*$G52*((1-$H52)+$H52*$M52*$I52*BY$9))</f>
        <v>0</v>
      </c>
      <c r="BZ52" s="37"/>
      <c r="CA52" s="48">
        <f>(BZ52/12*2*$E52*$G52*((1-$H52)+$H52*$M52*$I52*CA$9))+(BZ52/12*10*$F52*$G52*((1-$H52)+$H52*$M52*$I52*CA$9))</f>
        <v>0</v>
      </c>
      <c r="CB52" s="37"/>
      <c r="CC52" s="48">
        <f>(CB52/12*2*$E52*$G52*((1-$H52)+$H52*$M52*$I52*CC$9))+(CB52/12*10*$F52*$G52*((1-$H52)+$H52*$M52*$I52*CC$9))</f>
        <v>0</v>
      </c>
      <c r="CD52" s="37"/>
      <c r="CE52" s="48">
        <f>(CD52/12*2*$E52*$G52*((1-$H52)+$H52*$M52*$I52*CE$9))+(CD52/12*10*$F52*$G52*((1-$H52)+$H52*$M52*$I52*CE$9))</f>
        <v>0</v>
      </c>
      <c r="CF52" s="37"/>
      <c r="CG52" s="48">
        <f>(CF52/12*2*$E52*$G52*((1-$H52)+$H52*$N52*$I52*CG$9))+(CF52/12*10*$F52*$G52*((1-$H52)+$H52*$N52*$I52*CG$9))</f>
        <v>0</v>
      </c>
      <c r="CH52" s="37"/>
      <c r="CI52" s="48">
        <f>(CH52/12*2*$E52*$G52*((1-$H52)+$H52*$O52*$I52))+(CH52/12*10*$F52*$G52*((1-$H52)+$H52*$O52*$I52))</f>
        <v>0</v>
      </c>
      <c r="CJ52" s="36"/>
      <c r="CK52" s="36"/>
      <c r="CL52" s="36"/>
      <c r="CM52" s="36"/>
      <c r="CN52" s="41"/>
      <c r="CO52" s="41"/>
      <c r="CP52" s="42">
        <f t="shared" si="66"/>
        <v>5</v>
      </c>
      <c r="CQ52" s="42">
        <f t="shared" si="66"/>
        <v>1035681.3819</v>
      </c>
    </row>
    <row r="53" spans="1:95" s="3" customFormat="1" ht="30" hidden="1" customHeight="1" x14ac:dyDescent="0.25">
      <c r="A53" s="54"/>
      <c r="B53" s="54">
        <v>32</v>
      </c>
      <c r="C53" s="55" t="s">
        <v>183</v>
      </c>
      <c r="D53" s="64" t="s">
        <v>184</v>
      </c>
      <c r="E53" s="110">
        <v>16026</v>
      </c>
      <c r="F53" s="110">
        <v>16828</v>
      </c>
      <c r="G53" s="33">
        <v>17.190000000000001</v>
      </c>
      <c r="H53" s="62">
        <v>3.8600000000000002E-2</v>
      </c>
      <c r="I53" s="35">
        <v>1</v>
      </c>
      <c r="J53" s="111"/>
      <c r="K53" s="35"/>
      <c r="L53" s="65">
        <v>1.4</v>
      </c>
      <c r="M53" s="65">
        <v>1.68</v>
      </c>
      <c r="N53" s="65">
        <v>2.23</v>
      </c>
      <c r="O53" s="65">
        <v>2.57</v>
      </c>
      <c r="P53" s="36"/>
      <c r="Q53" s="48">
        <f>(P53/12*2*$E53*$G53*((1-$H53)+$H53*$L53*$I53))+(P53/12*10*$F53*$G53*((1-$H53)+$H53*$L53*$I53))</f>
        <v>0</v>
      </c>
      <c r="R53" s="37"/>
      <c r="S53" s="48">
        <f>(R53/12*2*$E53*$G53*((1-$H53)+$H53*$L53*$I53))+(R53/12*10*$F53*$G53*((1-$H53)+$H53*$L53*$I53))</f>
        <v>0</v>
      </c>
      <c r="T53" s="36"/>
      <c r="U53" s="48">
        <f>(T53/12*2*$E53*$G53*((1-$H53)+$H53*$L53*$I53))+(T53/12*10*$F53*$G53*((1-$H53)+$H53*$L53*$I53))</f>
        <v>0</v>
      </c>
      <c r="V53" s="37"/>
      <c r="W53" s="48">
        <f>(V53/12*2*$E53*$G53*((1-$H53)+$H53*$L53*$I53))+(V53/12*10*$F53*$G53*((1-$H53)+$H53*$L53*$I53))</f>
        <v>0</v>
      </c>
      <c r="X53" s="37"/>
      <c r="Y53" s="48">
        <f>(X53/12*2*$E53*$G53*((1-$H53)+$H53*$L53*$I53))+(X53/12*10*$F53*$G53*((1-$H53)+$H53*$L53*$I53))</f>
        <v>0</v>
      </c>
      <c r="Z53" s="37"/>
      <c r="AA53" s="48">
        <f>(Z53/12*2*$E53*$G53*((1-$H53)+$H53*$L53*$I53))+(Z53/12*10*$F53*$G53*((1-$H53)+$H53*$L53*$I53))</f>
        <v>0</v>
      </c>
      <c r="AB53" s="36"/>
      <c r="AC53" s="36"/>
      <c r="AD53" s="39"/>
      <c r="AE53" s="48">
        <f>(AD53/12*2*$E53*$G53*((1-$H53)+$H53*$L53*$I53))+(AD53/12*10*$F53*$G53*((1-$H53)+$H53*$L53*$I53))</f>
        <v>0</v>
      </c>
      <c r="AF53" s="37"/>
      <c r="AG53" s="48">
        <f>(AF53/12*2*$E53*$G53*((1-$H53)+$H53*$M53*$I53))+(AF53/12*10*$F53*$G53*((1-$H53)+$H53*$M53*$I53))</f>
        <v>0</v>
      </c>
      <c r="AH53" s="36"/>
      <c r="AI53" s="48">
        <f>(AH53/12*2*$E53*$G53*((1-$H53)+$H53*$M53*$I53))+(AH53/12*10*$F53*$G53*((1-$H53)+$H53*$M53*$I53))</f>
        <v>0</v>
      </c>
      <c r="AJ53" s="48">
        <v>0</v>
      </c>
      <c r="AK53" s="48">
        <v>0</v>
      </c>
      <c r="AL53" s="37"/>
      <c r="AM53" s="36"/>
      <c r="AN53" s="37"/>
      <c r="AO53" s="36"/>
      <c r="AP53" s="37"/>
      <c r="AQ53" s="36"/>
      <c r="AR53" s="37"/>
      <c r="AS53" s="48"/>
      <c r="AT53" s="37"/>
      <c r="AU53" s="36"/>
      <c r="AV53" s="37"/>
      <c r="AW53" s="48"/>
      <c r="AX53" s="37"/>
      <c r="AY53" s="48"/>
      <c r="AZ53" s="37"/>
      <c r="BA53" s="48"/>
      <c r="BB53" s="37"/>
      <c r="BC53" s="48"/>
      <c r="BD53" s="37"/>
      <c r="BE53" s="48">
        <f>(BD53/12*2*$E53*$G53*((1-$H53)+$H53*$L53*$I53*BE$9))+(BD53/12*10*$F53*$G53*((1-$H53)+$H53*$L53*$I53*BE$9))</f>
        <v>0</v>
      </c>
      <c r="BF53" s="31">
        <v>0</v>
      </c>
      <c r="BG53" s="48">
        <f>(BF53/12*2*$E53*$G53*((1-$H53)+$H53*$M53*$I53*BG$9))+(BF53/12*10*$F53*$G53*((1-$H53)+$H53*$M53*$I53*BG$9))</f>
        <v>0</v>
      </c>
      <c r="BH53" s="63"/>
      <c r="BI53" s="48">
        <f>(BH53/12*2*$E53*$G53*((1-$H53)+$H53*$M53*$I53*BI$9))+(BH53/12*10*$F53*$G53*((1-$H53)+$H53*$M53*$I53*BI$9))</f>
        <v>0</v>
      </c>
      <c r="BJ53" s="37"/>
      <c r="BK53" s="48">
        <f>(BJ53/12*2*$E53*$G53*((1-$H53)+$H53*$M53*$I53*BK$9))+(BJ53/12*10*$F53*$G53*((1-$H53)+$H53*$M53*$I53*BK$9))</f>
        <v>0</v>
      </c>
      <c r="BL53" s="37"/>
      <c r="BM53" s="48">
        <f>(BL53/12*2*$E53*$G53*((1-$H53)+$H53*$M53*$I53*BM$9))+(BL53/12*10*$F53*$G53*((1-$H53)+$H53*$M53*$I53*BM$9))</f>
        <v>0</v>
      </c>
      <c r="BN53" s="37"/>
      <c r="BO53" s="48">
        <f>(BN53/12*10*$F53*$G53*((1-$H53)+$H53*$M53*$I53*BO$9))</f>
        <v>0</v>
      </c>
      <c r="BP53" s="39"/>
      <c r="BQ53" s="48"/>
      <c r="BR53" s="37"/>
      <c r="BS53" s="48">
        <f>(BR53/12*10*$F53*$G53*((1-$H53)+$H53*$M53*$I53*BS$9))</f>
        <v>0</v>
      </c>
      <c r="BT53" s="37"/>
      <c r="BU53" s="48">
        <f>(BT53/12*2*$E53*$G53*((1-$H53)+$H53*$M53*$I53*BU$9))+(BT53/12*10*$F53*$G53*((1-$H53)+$H53*$M53*$I53*BU$9))</f>
        <v>0</v>
      </c>
      <c r="BV53" s="36"/>
      <c r="BW53" s="48">
        <f>(BV53/12*2*$E53*$G53*((1-$H53)+$H53*$M53*$I53*BW$9))+(BV53/12*10*$F53*$G53*((1-$H53)+$H53*$M53*$I53*BW$9))</f>
        <v>0</v>
      </c>
      <c r="BX53" s="37"/>
      <c r="BY53" s="48">
        <f>(BX53/12*2*$E53*$G53*((1-$H53)+$H53*$M53*$I53*BY$9))+(BX53/12*10*$F53*$G53*((1-$H53)+$H53*$M53*$I53*BY$9))</f>
        <v>0</v>
      </c>
      <c r="BZ53" s="37"/>
      <c r="CA53" s="48">
        <f>(BZ53/12*2*$E53*$G53*((1-$H53)+$H53*$M53*$I53*CA$9))+(BZ53/12*10*$F53*$G53*((1-$H53)+$H53*$M53*$I53*CA$9))</f>
        <v>0</v>
      </c>
      <c r="CB53" s="37"/>
      <c r="CC53" s="48">
        <f>(CB53/12*2*$E53*$G53*((1-$H53)+$H53*$M53*$I53*CC$9))+(CB53/12*10*$F53*$G53*((1-$H53)+$H53*$M53*$I53*CC$9))</f>
        <v>0</v>
      </c>
      <c r="CD53" s="37"/>
      <c r="CE53" s="48">
        <f>(CD53/12*2*$E53*$G53*((1-$H53)+$H53*$M53*$I53*CE$9))+(CD53/12*10*$F53*$G53*((1-$H53)+$H53*$M53*$I53*CE$9))</f>
        <v>0</v>
      </c>
      <c r="CF53" s="37"/>
      <c r="CG53" s="48">
        <f>(CF53/12*2*$E53*$G53*((1-$H53)+$H53*$N53*$I53*CG$9))+(CF53/12*10*$F53*$G53*((1-$H53)+$H53*$N53*$I53*CG$9))</f>
        <v>0</v>
      </c>
      <c r="CH53" s="37"/>
      <c r="CI53" s="48">
        <f>(CH53/12*2*$E53*$G53*((1-$H53)+$H53*$O53*$I53))+(CH53/12*10*$F53*$G53*((1-$H53)+$H53*$O53*$I53))</f>
        <v>0</v>
      </c>
      <c r="CJ53" s="36"/>
      <c r="CK53" s="36"/>
      <c r="CL53" s="36"/>
      <c r="CM53" s="36"/>
      <c r="CN53" s="41"/>
      <c r="CO53" s="41"/>
      <c r="CP53" s="42">
        <f t="shared" si="66"/>
        <v>0</v>
      </c>
      <c r="CQ53" s="42">
        <f t="shared" si="66"/>
        <v>0</v>
      </c>
    </row>
    <row r="54" spans="1:95" s="3" customFormat="1" ht="22.5" hidden="1" customHeight="1" x14ac:dyDescent="0.25">
      <c r="A54" s="54"/>
      <c r="B54" s="54">
        <v>33</v>
      </c>
      <c r="C54" s="55" t="s">
        <v>185</v>
      </c>
      <c r="D54" s="64" t="s">
        <v>186</v>
      </c>
      <c r="E54" s="110">
        <v>16026</v>
      </c>
      <c r="F54" s="110">
        <v>16828</v>
      </c>
      <c r="G54" s="33">
        <v>0.97</v>
      </c>
      <c r="H54" s="34"/>
      <c r="I54" s="35">
        <v>1</v>
      </c>
      <c r="J54" s="111"/>
      <c r="K54" s="35"/>
      <c r="L54" s="97">
        <v>1.4</v>
      </c>
      <c r="M54" s="97">
        <v>1.68</v>
      </c>
      <c r="N54" s="97">
        <v>2.23</v>
      </c>
      <c r="O54" s="97">
        <v>2.57</v>
      </c>
      <c r="P54" s="36">
        <v>4</v>
      </c>
      <c r="Q54" s="36">
        <f>SUM(P54/12*2*$E54*$G54*$I54*$L54*$Q$9)+(P54/12*10*$F54*$G54*$I54*$L54*$Q$9)</f>
        <v>90683.618666666647</v>
      </c>
      <c r="R54" s="37"/>
      <c r="S54" s="36">
        <f>SUM(R54/12*2*$E54*$G54*$I54*$L54*S$9)+(R54/12*10*$F54*$G54*$I54*$L54*S$9)</f>
        <v>0</v>
      </c>
      <c r="T54" s="36"/>
      <c r="U54" s="36">
        <f>SUM(T54/12*2*$E54*$G54*$I54*$L54*U$9)+(T54/12*10*$F54*$G54*$I54*$L54*U$9)</f>
        <v>0</v>
      </c>
      <c r="V54" s="37"/>
      <c r="W54" s="36">
        <f>SUM(V54/12*2*$E54*$G54*$I54*$L54*$W$9)+(V54/12*10*$F54*$G54*$I54*$L54*$W$9)</f>
        <v>0</v>
      </c>
      <c r="X54" s="37"/>
      <c r="Y54" s="38">
        <f>SUM(X54/12*2*$E54*$G54*$I54*$L54*Y$9)+(X54/12*10*$F54*$G54*$I54*$L54*Y$9)</f>
        <v>0</v>
      </c>
      <c r="Z54" s="37"/>
      <c r="AA54" s="36"/>
      <c r="AB54" s="36">
        <v>15</v>
      </c>
      <c r="AC54" s="36">
        <f>(AB54/12*2*$E54*$G54*$I54*$L54)+(AB54/12*10*$F54*$G54*$I54*$L54)</f>
        <v>340063.56999999995</v>
      </c>
      <c r="AD54" s="39">
        <v>10</v>
      </c>
      <c r="AE54" s="36">
        <f>(AD54/12*2*$E54*$G54*$I54*$L54*AE$9)+(AD54/12*10*$F54*$G54*$I54*$L54*AE$9)</f>
        <v>226709.04666666666</v>
      </c>
      <c r="AF54" s="37">
        <v>0</v>
      </c>
      <c r="AG54" s="36">
        <f>(AF54/12*2*$E54*$G54*$I54*$M54*AG$9)+(AF54/12*10*$F54*$G54*$I54*$M54*AG$9)</f>
        <v>0</v>
      </c>
      <c r="AH54" s="36"/>
      <c r="AI54" s="36">
        <f>(AH54/12*2*$E54*$G54*$I54*$M54*$AI$9)+(AH54/12*10*$F54*$G54*$I54*$M54*$AI$9)</f>
        <v>0</v>
      </c>
      <c r="AJ54" s="36">
        <v>0</v>
      </c>
      <c r="AK54" s="36">
        <v>0</v>
      </c>
      <c r="AL54" s="37"/>
      <c r="AM54" s="36">
        <f>SUM(AL54/12*2*$E54*$G54*$I54*$L54*AM$9)+(AL54/12*10*$F54*$G54*$I54*$L54*AM$9)</f>
        <v>0</v>
      </c>
      <c r="AN54" s="37"/>
      <c r="AO54" s="36">
        <f>SUM(AN54/12*2*$E54*$G54*$I54*$L54*$AE$9)+(AN54/12*10*$F54*$G54*$I54*$L54*$AE$9)</f>
        <v>0</v>
      </c>
      <c r="AP54" s="37"/>
      <c r="AQ54" s="36"/>
      <c r="AR54" s="37"/>
      <c r="AS54" s="36">
        <f>SUM(AR54/12*2*$E54*$G54*$I54*$L54*AS$9)+(AR54/12*10*$F54*$G54*$I54*$L54*AS$9)</f>
        <v>0</v>
      </c>
      <c r="AT54" s="37"/>
      <c r="AU54" s="36">
        <f>SUM(AT54/12*2*$E54*$G54*$I54*$L54*$AI$9)+(AT54/12*10*$F54*$G54*$I54*$L54*$AI$9)</f>
        <v>0</v>
      </c>
      <c r="AV54" s="37"/>
      <c r="AW54" s="36">
        <f>SUM(AV54/12*2*$E54*$G54*$I54*$L54*AW$9)+(AV54/12*10*$F54*$G54*$I54*$L54*AW$9)</f>
        <v>0</v>
      </c>
      <c r="AX54" s="37"/>
      <c r="AY54" s="36">
        <f>SUM(AX54/12*2*$E54*$G54*$I54*$L54*AY$9)+(AX54/12*10*$F54*$G54*$I54*$L54*AY$9)</f>
        <v>0</v>
      </c>
      <c r="AZ54" s="37"/>
      <c r="BA54" s="36">
        <f>SUM(AZ54/12*2*$E54*$G54*$I54*$L54*BA$9)+(AZ54/12*10*$F54*$G54*$I54*$L54*BA$9)</f>
        <v>0</v>
      </c>
      <c r="BB54" s="37"/>
      <c r="BC54" s="36">
        <f>SUM(BB54/12*2*$E54*$G54*$I54*$L54*BC$9)+(BB54/12*10*$F54*$G54*$I54*$L54*BC$9)</f>
        <v>0</v>
      </c>
      <c r="BD54" s="36">
        <v>7</v>
      </c>
      <c r="BE54" s="36">
        <f>SUM(BD54/12*2*$E54*$G54*$I54*$L54*BE$9)+(BD54/12*10*$F54*$G54*$I54*$L54*BE$9)</f>
        <v>158696.33266666665</v>
      </c>
      <c r="BF54" s="31">
        <v>5</v>
      </c>
      <c r="BG54" s="39">
        <f>(BF54/12*2*$E54*$G54*$I54*$M54*BG$9)+(BF54/12*10*$F54*$G54*$I54*$M54*BG$9)</f>
        <v>136025.42800000001</v>
      </c>
      <c r="BH54" s="60"/>
      <c r="BI54" s="36">
        <f>(BH54/12*2*$E54*$G54*$I54*$M54*BI$9)+(BH54/12*10*$F54*$G54*$I54*$M54*BI$9)</f>
        <v>0</v>
      </c>
      <c r="BJ54" s="37"/>
      <c r="BK54" s="36">
        <f>(BJ54/12*2*$E54*$G54*$I54*$M54*BK$9)+(BJ54/12*10*$F54*$G54*$I54*$M54*BK$9)</f>
        <v>0</v>
      </c>
      <c r="BL54" s="36"/>
      <c r="BM54" s="36">
        <f>(BL54/12*2*$E54*$G54*$I54*$M54*BM$9)+(BL54/12*10*$F54*$G54*$I54*$M54*BM$9)</f>
        <v>0</v>
      </c>
      <c r="BN54" s="36"/>
      <c r="BO54" s="36">
        <f>(BN54/12*10*$F54*$G54*$I54*$M54*BO$9)</f>
        <v>0</v>
      </c>
      <c r="BP54" s="39"/>
      <c r="BQ54" s="36"/>
      <c r="BR54" s="37"/>
      <c r="BS54" s="36">
        <f>(BR54/12*10*$F54*$G54*$I54*$M54*BS$9)</f>
        <v>0</v>
      </c>
      <c r="BT54" s="37"/>
      <c r="BU54" s="36">
        <f>(BT54/12*2*$E54*$G54*$I54*$M54*BU$9)+(BT54/12*10*$F54*$G54*$I54*$M54*BU$9)</f>
        <v>0</v>
      </c>
      <c r="BV54" s="36">
        <v>3</v>
      </c>
      <c r="BW54" s="36">
        <f>(BV54/12*2*$E54*$G54*$I54*$M54*BW$9)+(BV54/12*10*$F54*$G54*$I54*$M54*BW$9)</f>
        <v>81615.256800000003</v>
      </c>
      <c r="BX54" s="37"/>
      <c r="BY54" s="36">
        <f>(BX54/12*2*$E54*$G54*$I54*$M54*BY$9)+(BX54/12*10*$F54*$G54*$I54*$M54*BY$9)</f>
        <v>0</v>
      </c>
      <c r="BZ54" s="37"/>
      <c r="CA54" s="36">
        <f>(BZ54/12*2*$E54*$G54*$I54*$M54*CA$9)+(BZ54/12*10*$F54*$G54*$I54*$M54*CA$9)</f>
        <v>0</v>
      </c>
      <c r="CB54" s="36"/>
      <c r="CC54" s="36">
        <f>(CB54/12*2*$E54*$G54*$I54*$M54*CC$9)+(CB54/12*10*$F54*$G54*$I54*$M54*CC$9)</f>
        <v>0</v>
      </c>
      <c r="CD54" s="37"/>
      <c r="CE54" s="36">
        <f>(CD54/12*2*$E54*$G54*$I54*$M54*CE$9)+(CD54/12*10*$F54*$G54*$I54*$M54*CE$9)</f>
        <v>0</v>
      </c>
      <c r="CF54" s="58"/>
      <c r="CG54" s="36">
        <f>(CF54/12*2*$E54*$G54*$I54*$N54*CG$9)+(CF54/12*10*$F54*$G54*$I54*$N54*CG$9)</f>
        <v>0</v>
      </c>
      <c r="CH54" s="36">
        <v>2</v>
      </c>
      <c r="CI54" s="36">
        <f>(CH54/12*2*$E54*$G54*$I54*$O54*$CI$9)+(CH54/12*10*$F54*$G54*$I54*$O54*$CI$9)</f>
        <v>83234.607133333309</v>
      </c>
      <c r="CJ54" s="36"/>
      <c r="CK54" s="36"/>
      <c r="CL54" s="36"/>
      <c r="CM54" s="36"/>
      <c r="CN54" s="41"/>
      <c r="CO54" s="41"/>
      <c r="CP54" s="42">
        <f t="shared" si="66"/>
        <v>46</v>
      </c>
      <c r="CQ54" s="42">
        <f t="shared" si="66"/>
        <v>1117027.8599333332</v>
      </c>
    </row>
    <row r="55" spans="1:95" s="3" customFormat="1" ht="30" hidden="1" customHeight="1" x14ac:dyDescent="0.3">
      <c r="A55" s="54"/>
      <c r="B55" s="54">
        <v>34</v>
      </c>
      <c r="C55" s="55" t="s">
        <v>187</v>
      </c>
      <c r="D55" s="64" t="s">
        <v>188</v>
      </c>
      <c r="E55" s="110">
        <v>16026</v>
      </c>
      <c r="F55" s="110">
        <v>16828</v>
      </c>
      <c r="G55" s="33">
        <v>1.1599999999999999</v>
      </c>
      <c r="H55" s="34"/>
      <c r="I55" s="35">
        <v>1</v>
      </c>
      <c r="J55" s="66"/>
      <c r="K55" s="35"/>
      <c r="L55" s="97">
        <v>1.4</v>
      </c>
      <c r="M55" s="97">
        <v>1.68</v>
      </c>
      <c r="N55" s="97">
        <v>2.23</v>
      </c>
      <c r="O55" s="97">
        <v>2.57</v>
      </c>
      <c r="P55" s="36">
        <v>0</v>
      </c>
      <c r="Q55" s="36">
        <f>SUM(P55/12*2*$E55*$G55*$I55*$L55*$Q$9)+(P55/12*10*$F55*$G55*$I55*$L55*$Q$9)</f>
        <v>0</v>
      </c>
      <c r="R55" s="37">
        <v>0</v>
      </c>
      <c r="S55" s="36">
        <f>SUM(R55/12*2*$E55*$G55*$I55*$L55*S$9)+(R55/12*10*$F55*$G55*$I55*$L55*S$9)</f>
        <v>0</v>
      </c>
      <c r="T55" s="36">
        <v>0</v>
      </c>
      <c r="U55" s="36">
        <f>SUM(T55/12*2*$E55*$G55*$I55*$L55*U$9)+(T55/12*10*$F55*$G55*$I55*$L55*U$9)</f>
        <v>0</v>
      </c>
      <c r="V55" s="37">
        <v>0</v>
      </c>
      <c r="W55" s="36">
        <f>SUM(V55/12*2*$E55*$G55*$I55*$L55*$W$9)+(V55/12*10*$F55*$G55*$I55*$L55*$W$9)</f>
        <v>0</v>
      </c>
      <c r="X55" s="37">
        <v>0</v>
      </c>
      <c r="Y55" s="38">
        <f>SUM(X55/12*2*$E55*$G55*$I55*$L55*Y$9)+(X55/12*10*$F55*$G55*$I55*$L55*Y$9)</f>
        <v>0</v>
      </c>
      <c r="Z55" s="40"/>
      <c r="AA55" s="36"/>
      <c r="AB55" s="36"/>
      <c r="AC55" s="36">
        <f>(AB55/12*2*$E55*$G55*$I55*$L55)+(AB55/12*10*$F55*$G55*$I55*$L55)</f>
        <v>0</v>
      </c>
      <c r="AD55" s="37">
        <v>0</v>
      </c>
      <c r="AE55" s="36">
        <f>(AD55/12*2*$E55*$G55*$I55*$L55*AE$9)+(AD55/12*10*$F55*$G55*$I55*$L55*AE$9)</f>
        <v>0</v>
      </c>
      <c r="AF55" s="37">
        <v>0</v>
      </c>
      <c r="AG55" s="36">
        <f>(AF55/12*2*$E55*$G55*$I55*$M55*AG$9)+(AF55/12*10*$F55*$G55*$I55*$M55*AG$9)</f>
        <v>0</v>
      </c>
      <c r="AH55" s="58">
        <v>1</v>
      </c>
      <c r="AI55" s="36">
        <f>(AH55/12*2*$E55*$G55*$I55*$M55*$AI$9)+(AH55/12*10*$F55*$G55*$I55*$M55*$AI$9)</f>
        <v>32533.916799999995</v>
      </c>
      <c r="AJ55" s="36">
        <v>1</v>
      </c>
      <c r="AK55" s="36">
        <v>31231.47</v>
      </c>
      <c r="AL55" s="37"/>
      <c r="AM55" s="36">
        <f>SUM(AL55/12*2*$E55*$G55*$I55*$L55*AM$9)+(AL55/12*10*$F55*$G55*$I55*$L55*AM$9)</f>
        <v>0</v>
      </c>
      <c r="AN55" s="37">
        <v>0</v>
      </c>
      <c r="AO55" s="36">
        <f>SUM(AN55/12*2*$E55*$G55*$I55*$L55*$AE$9)+(AN55/12*10*$F55*$G55*$I55*$L55*$AE$9)</f>
        <v>0</v>
      </c>
      <c r="AP55" s="37"/>
      <c r="AQ55" s="36"/>
      <c r="AR55" s="37"/>
      <c r="AS55" s="36">
        <f>SUM(AR55/12*2*$E55*$G55*$I55*$L55*AS$9)+(AR55/12*10*$F55*$G55*$I55*$L55*AS$9)</f>
        <v>0</v>
      </c>
      <c r="AT55" s="37"/>
      <c r="AU55" s="36">
        <f>SUM(AT55/12*2*$E55*$G55*$I55*$L55*$AI$9)+(AT55/12*10*$F55*$G55*$I55*$L55*$AI$9)</f>
        <v>0</v>
      </c>
      <c r="AV55" s="37">
        <v>0</v>
      </c>
      <c r="AW55" s="36">
        <f>SUM(AV55/12*2*$E55*$G55*$I55*$L55*AW$9)+(AV55/12*10*$F55*$G55*$I55*$L55*AW$9)</f>
        <v>0</v>
      </c>
      <c r="AX55" s="37">
        <v>0</v>
      </c>
      <c r="AY55" s="36">
        <f>SUM(AX55/12*2*$E55*$G55*$I55*$L55*AY$9)+(AX55/12*10*$F55*$G55*$I55*$L55*AY$9)</f>
        <v>0</v>
      </c>
      <c r="AZ55" s="37">
        <v>0</v>
      </c>
      <c r="BA55" s="36">
        <f>SUM(AZ55/12*2*$E55*$G55*$I55*$L55*BA$9)+(AZ55/12*10*$F55*$G55*$I55*$L55*BA$9)</f>
        <v>0</v>
      </c>
      <c r="BB55" s="37">
        <v>0</v>
      </c>
      <c r="BC55" s="36">
        <f>SUM(BB55/12*2*$E55*$G55*$I55*$L55*BC$9)+(BB55/12*10*$F55*$G55*$I55*$L55*BC$9)</f>
        <v>0</v>
      </c>
      <c r="BD55" s="36"/>
      <c r="BE55" s="36">
        <f>SUM(BD55/12*2*$E55*$G55*$I55*$L55*BE$9)+(BD55/12*10*$F55*$G55*$I55*$L55*BE$9)</f>
        <v>0</v>
      </c>
      <c r="BF55" s="37">
        <v>0</v>
      </c>
      <c r="BG55" s="39">
        <f>(BF55/12*2*$E55*$G55*$I55*$M55*BG$9)+(BF55/12*10*$F55*$G55*$I55*$M55*BG$9)</f>
        <v>0</v>
      </c>
      <c r="BH55" s="60">
        <v>0</v>
      </c>
      <c r="BI55" s="36">
        <f>(BH55/12*2*$E55*$G55*$I55*$M55*BI$9)+(BH55/12*10*$F55*$G55*$I55*$M55*BI$9)</f>
        <v>0</v>
      </c>
      <c r="BJ55" s="37">
        <v>0</v>
      </c>
      <c r="BK55" s="36">
        <f>(BJ55/12*2*$E55*$G55*$I55*$M55*BK$9)+(BJ55/12*10*$F55*$G55*$I55*$M55*BK$9)</f>
        <v>0</v>
      </c>
      <c r="BL55" s="36">
        <v>0</v>
      </c>
      <c r="BM55" s="36">
        <f>(BL55/12*2*$E55*$G55*$I55*$M55*BM$9)+(BL55/12*10*$F55*$G55*$I55*$M55*BM$9)</f>
        <v>0</v>
      </c>
      <c r="BN55" s="36"/>
      <c r="BO55" s="36">
        <f>(BN55/12*10*$F55*$G55*$I55*$M55*BO$9)</f>
        <v>0</v>
      </c>
      <c r="BP55" s="39">
        <v>0</v>
      </c>
      <c r="BQ55" s="36"/>
      <c r="BR55" s="37">
        <v>0</v>
      </c>
      <c r="BS55" s="36">
        <f>(BR55/12*10*$F55*$G55*$I55*$M55*BS$9)</f>
        <v>0</v>
      </c>
      <c r="BT55" s="37"/>
      <c r="BU55" s="36">
        <f>(BT55/12*2*$E55*$G55*$I55*$M55*BU$9)+(BT55/12*10*$F55*$G55*$I55*$M55*BU$9)</f>
        <v>0</v>
      </c>
      <c r="BV55" s="36">
        <v>0</v>
      </c>
      <c r="BW55" s="36">
        <f>(BV55/12*2*$E55*$G55*$I55*$M55*BW$9)+(BV55/12*10*$F55*$G55*$I55*$M55*BW$9)</f>
        <v>0</v>
      </c>
      <c r="BX55" s="37">
        <v>0</v>
      </c>
      <c r="BY55" s="36">
        <f>(BX55/12*2*$E55*$G55*$I55*$M55*BY$9)+(BX55/12*10*$F55*$G55*$I55*$M55*BY$9)</f>
        <v>0</v>
      </c>
      <c r="BZ55" s="37"/>
      <c r="CA55" s="36">
        <f>(BZ55/12*2*$E55*$G55*$I55*$M55*CA$9)+(BZ55/12*10*$F55*$G55*$I55*$M55*CA$9)</f>
        <v>0</v>
      </c>
      <c r="CB55" s="36"/>
      <c r="CC55" s="36">
        <f>(CB55/12*2*$E55*$G55*$I55*$M55*CC$9)+(CB55/12*10*$F55*$G55*$I55*$M55*CC$9)</f>
        <v>0</v>
      </c>
      <c r="CD55" s="36">
        <v>2</v>
      </c>
      <c r="CE55" s="36">
        <f>(CD55/12*2*$E55*$G55*$I55*$M55*CE$9)+(CD55/12*10*$F55*$G55*$I55*$M55*CE$9)</f>
        <v>65067.833599999991</v>
      </c>
      <c r="CF55" s="36">
        <v>50</v>
      </c>
      <c r="CG55" s="36">
        <f>(CF55/12*2*$E55*$G55*$I55*$N55*CG$9)+(CF55/12*10*$F55*$G55*$I55*$N55*CG$9)</f>
        <v>2159245.0733333332</v>
      </c>
      <c r="CH55" s="37">
        <v>0</v>
      </c>
      <c r="CI55" s="36">
        <f>(CH55/12*2*$E55*$G55*$I55*$O55*$CI$9)+(CH55/12*10*$F55*$G55*$I55*$O55*$CI$9)</f>
        <v>0</v>
      </c>
      <c r="CJ55" s="36"/>
      <c r="CK55" s="36"/>
      <c r="CL55" s="36"/>
      <c r="CM55" s="36"/>
      <c r="CN55" s="41"/>
      <c r="CO55" s="41"/>
      <c r="CP55" s="42">
        <f t="shared" si="66"/>
        <v>54</v>
      </c>
      <c r="CQ55" s="42">
        <f t="shared" si="66"/>
        <v>2288078.2937333332</v>
      </c>
    </row>
    <row r="56" spans="1:95" s="3" customFormat="1" ht="18.75" hidden="1" customHeight="1" x14ac:dyDescent="0.3">
      <c r="A56" s="54"/>
      <c r="B56" s="54">
        <v>35</v>
      </c>
      <c r="C56" s="55" t="s">
        <v>189</v>
      </c>
      <c r="D56" s="64" t="s">
        <v>190</v>
      </c>
      <c r="E56" s="110">
        <v>16026</v>
      </c>
      <c r="F56" s="110">
        <v>16828</v>
      </c>
      <c r="G56" s="33">
        <v>0.97</v>
      </c>
      <c r="H56" s="34"/>
      <c r="I56" s="35">
        <v>1</v>
      </c>
      <c r="J56" s="66"/>
      <c r="K56" s="35"/>
      <c r="L56" s="97">
        <v>1.4</v>
      </c>
      <c r="M56" s="97">
        <v>1.68</v>
      </c>
      <c r="N56" s="97">
        <v>2.23</v>
      </c>
      <c r="O56" s="97">
        <v>2.57</v>
      </c>
      <c r="P56" s="36"/>
      <c r="Q56" s="36">
        <f>SUM(P56/12*2*$E56*$G56*$I56*$L56*$Q$9)+(P56/12*10*$F56*$G56*$I56*$L56*$Q$9)</f>
        <v>0</v>
      </c>
      <c r="R56" s="37"/>
      <c r="S56" s="36">
        <f>SUM(R56/12*2*$E56*$G56*$I56*$L56*S$9)+(R56/12*10*$F56*$G56*$I56*$L56*S$9)</f>
        <v>0</v>
      </c>
      <c r="T56" s="36"/>
      <c r="U56" s="36">
        <f>SUM(T56/12*2*$E56*$G56*$I56*$L56*U$9)+(T56/12*10*$F56*$G56*$I56*$L56*U$9)</f>
        <v>0</v>
      </c>
      <c r="V56" s="37"/>
      <c r="W56" s="36">
        <f>SUM(V56/12*2*$E56*$G56*$I56*$L56*$W$9)+(V56/12*10*$F56*$G56*$I56*$L56*$W$9)</f>
        <v>0</v>
      </c>
      <c r="X56" s="37"/>
      <c r="Y56" s="38">
        <f>SUM(X56/12*2*$E56*$G56*$I56*$L56*Y$9)+(X56/12*10*$F56*$G56*$I56*$L56*Y$9)</f>
        <v>0</v>
      </c>
      <c r="Z56" s="40"/>
      <c r="AA56" s="36"/>
      <c r="AB56" s="36"/>
      <c r="AC56" s="36">
        <f>(AB56/12*2*$E56*$G56*$I56*$L56)+(AB56/12*10*$F56*$G56*$I56*$L56)</f>
        <v>0</v>
      </c>
      <c r="AD56" s="37">
        <v>0</v>
      </c>
      <c r="AE56" s="36">
        <f>(AD56/12*2*$E56*$G56*$I56*$L56*AE$9)+(AD56/12*10*$F56*$G56*$I56*$L56*AE$9)</f>
        <v>0</v>
      </c>
      <c r="AF56" s="37">
        <v>0</v>
      </c>
      <c r="AG56" s="36">
        <f>(AF56/12*2*$E56*$G56*$I56*$M56*AG$9)+(AF56/12*10*$F56*$G56*$I56*$M56*AG$9)</f>
        <v>0</v>
      </c>
      <c r="AH56" s="36">
        <v>0</v>
      </c>
      <c r="AI56" s="36">
        <f>(AH56/12*2*$E56*$G56*$I56*$M56*$AI$9)+(AH56/12*10*$F56*$G56*$I56*$M56*$AI$9)</f>
        <v>0</v>
      </c>
      <c r="AJ56" s="36">
        <v>0</v>
      </c>
      <c r="AK56" s="36">
        <v>0</v>
      </c>
      <c r="AL56" s="37"/>
      <c r="AM56" s="36">
        <f>SUM(AL56/12*2*$E56*$G56*$I56*$L56*AM$9)+(AL56/12*10*$F56*$G56*$I56*$L56*AM$9)</f>
        <v>0</v>
      </c>
      <c r="AN56" s="37"/>
      <c r="AO56" s="36">
        <f>SUM(AN56/12*2*$E56*$G56*$I56*$L56*$AE$9)+(AN56/12*10*$F56*$G56*$I56*$L56*$AE$9)</f>
        <v>0</v>
      </c>
      <c r="AP56" s="37"/>
      <c r="AQ56" s="36"/>
      <c r="AR56" s="37"/>
      <c r="AS56" s="36">
        <f>SUM(AR56/12*2*$E56*$G56*$I56*$L56*AS$9)+(AR56/12*10*$F56*$G56*$I56*$L56*AS$9)</f>
        <v>0</v>
      </c>
      <c r="AT56" s="37"/>
      <c r="AU56" s="36">
        <f>SUM(AT56/12*2*$E56*$G56*$I56*$L56*$AI$9)+(AT56/12*10*$F56*$G56*$I56*$L56*$AI$9)</f>
        <v>0</v>
      </c>
      <c r="AV56" s="37"/>
      <c r="AW56" s="36">
        <f>SUM(AV56/12*2*$E56*$G56*$I56*$L56*AW$9)+(AV56/12*10*$F56*$G56*$I56*$L56*AW$9)</f>
        <v>0</v>
      </c>
      <c r="AX56" s="37"/>
      <c r="AY56" s="36">
        <f>SUM(AX56/12*2*$E56*$G56*$I56*$L56*AY$9)+(AX56/12*10*$F56*$G56*$I56*$L56*AY$9)</f>
        <v>0</v>
      </c>
      <c r="AZ56" s="37"/>
      <c r="BA56" s="36">
        <f>SUM(AZ56/12*2*$E56*$G56*$I56*$L56*BA$9)+(AZ56/12*10*$F56*$G56*$I56*$L56*BA$9)</f>
        <v>0</v>
      </c>
      <c r="BB56" s="37"/>
      <c r="BC56" s="36">
        <f>SUM(BB56/12*2*$E56*$G56*$I56*$L56*BC$9)+(BB56/12*10*$F56*$G56*$I56*$L56*BC$9)</f>
        <v>0</v>
      </c>
      <c r="BD56" s="36"/>
      <c r="BE56" s="36">
        <f>SUM(BD56/12*2*$E56*$G56*$I56*$L56*BE$9)+(BD56/12*10*$F56*$G56*$I56*$L56*BE$9)</f>
        <v>0</v>
      </c>
      <c r="BF56" s="37">
        <v>0</v>
      </c>
      <c r="BG56" s="39">
        <f>(BF56/12*2*$E56*$G56*$I56*$M56*BG$9)+(BF56/12*10*$F56*$G56*$I56*$M56*BG$9)</f>
        <v>0</v>
      </c>
      <c r="BH56" s="60"/>
      <c r="BI56" s="36">
        <f>(BH56/12*2*$E56*$G56*$I56*$M56*BI$9)+(BH56/12*10*$F56*$G56*$I56*$M56*BI$9)</f>
        <v>0</v>
      </c>
      <c r="BJ56" s="37"/>
      <c r="BK56" s="36">
        <f>(BJ56/12*2*$E56*$G56*$I56*$M56*BK$9)+(BJ56/12*10*$F56*$G56*$I56*$M56*BK$9)</f>
        <v>0</v>
      </c>
      <c r="BL56" s="36"/>
      <c r="BM56" s="36">
        <f>(BL56/12*2*$E56*$G56*$I56*$M56*BM$9)+(BL56/12*10*$F56*$G56*$I56*$M56*BM$9)</f>
        <v>0</v>
      </c>
      <c r="BN56" s="36"/>
      <c r="BO56" s="36">
        <f>(BN56/12*10*$F56*$G56*$I56*$M56*BO$9)</f>
        <v>0</v>
      </c>
      <c r="BP56" s="39">
        <v>0</v>
      </c>
      <c r="BQ56" s="36"/>
      <c r="BR56" s="37"/>
      <c r="BS56" s="36">
        <f>(BR56/12*10*$F56*$G56*$I56*$M56*BS$9)</f>
        <v>0</v>
      </c>
      <c r="BT56" s="37"/>
      <c r="BU56" s="36">
        <f>(BT56/12*2*$E56*$G56*$I56*$M56*BU$9)+(BT56/12*10*$F56*$G56*$I56*$M56*BU$9)</f>
        <v>0</v>
      </c>
      <c r="BV56" s="36">
        <v>0</v>
      </c>
      <c r="BW56" s="36">
        <f>(BV56/12*2*$E56*$G56*$I56*$M56*BW$9)+(BV56/12*10*$F56*$G56*$I56*$M56*BW$9)</f>
        <v>0</v>
      </c>
      <c r="BX56" s="37"/>
      <c r="BY56" s="36">
        <f>(BX56/12*2*$E56*$G56*$I56*$M56*BY$9)+(BX56/12*10*$F56*$G56*$I56*$M56*BY$9)</f>
        <v>0</v>
      </c>
      <c r="BZ56" s="37"/>
      <c r="CA56" s="36">
        <f>(BZ56/12*2*$E56*$G56*$I56*$M56*CA$9)+(BZ56/12*10*$F56*$G56*$I56*$M56*CA$9)</f>
        <v>0</v>
      </c>
      <c r="CB56" s="36"/>
      <c r="CC56" s="36">
        <f>(CB56/12*2*$E56*$G56*$I56*$M56*CC$9)+(CB56/12*10*$F56*$G56*$I56*$M56*CC$9)</f>
        <v>0</v>
      </c>
      <c r="CD56" s="36">
        <v>3</v>
      </c>
      <c r="CE56" s="36">
        <f>(CD56/12*2*$E56*$G56*$I56*$M56*CE$9)+(CD56/12*10*$F56*$G56*$I56*$M56*CE$9)</f>
        <v>81615.256800000003</v>
      </c>
      <c r="CF56" s="36"/>
      <c r="CG56" s="36">
        <f>(CF56/12*2*$E56*$G56*$I56*$N56*CG$9)+(CF56/12*10*$F56*$G56*$I56*$N56*CG$9)</f>
        <v>0</v>
      </c>
      <c r="CH56" s="37"/>
      <c r="CI56" s="36">
        <f>(CH56/12*2*$E56*$G56*$I56*$O56*$CI$9)+(CH56/12*10*$F56*$G56*$I56*$O56*$CI$9)</f>
        <v>0</v>
      </c>
      <c r="CJ56" s="36"/>
      <c r="CK56" s="36"/>
      <c r="CL56" s="36"/>
      <c r="CM56" s="36"/>
      <c r="CN56" s="41"/>
      <c r="CO56" s="41"/>
      <c r="CP56" s="42">
        <f t="shared" si="66"/>
        <v>3</v>
      </c>
      <c r="CQ56" s="42">
        <f t="shared" si="66"/>
        <v>81615.256800000003</v>
      </c>
    </row>
    <row r="57" spans="1:95" s="3" customFormat="1" ht="30" hidden="1" customHeight="1" x14ac:dyDescent="0.25">
      <c r="A57" s="54"/>
      <c r="B57" s="54">
        <v>36</v>
      </c>
      <c r="C57" s="55" t="s">
        <v>191</v>
      </c>
      <c r="D57" s="109" t="s">
        <v>192</v>
      </c>
      <c r="E57" s="110">
        <v>16026</v>
      </c>
      <c r="F57" s="110">
        <v>16828</v>
      </c>
      <c r="G57" s="33">
        <v>0.52</v>
      </c>
      <c r="H57" s="34"/>
      <c r="I57" s="35">
        <v>1</v>
      </c>
      <c r="J57" s="118">
        <v>0.95</v>
      </c>
      <c r="K57" s="35"/>
      <c r="L57" s="97">
        <v>1.4</v>
      </c>
      <c r="M57" s="97">
        <v>1.68</v>
      </c>
      <c r="N57" s="97">
        <v>2.23</v>
      </c>
      <c r="O57" s="97">
        <v>2.57</v>
      </c>
      <c r="P57" s="36">
        <v>4</v>
      </c>
      <c r="Q57" s="36">
        <f>SUM(P57/12*2*$E57*$G57*$I57*$L57*$Q$9)+(P57/12*10*$F57*$G57*$J57*$L57*$Q$9)</f>
        <v>46572.101333333325</v>
      </c>
      <c r="R57" s="37">
        <v>0</v>
      </c>
      <c r="S57" s="36">
        <f>SUM(R57/12*2*$E57*$G57*$I57*$L57*S$9)+(R57/12*10*$F57*$G57*$J57*$L57*S$9)</f>
        <v>0</v>
      </c>
      <c r="T57" s="36">
        <v>0</v>
      </c>
      <c r="U57" s="36">
        <f>SUM(T57/12*2*$E57*$G57*$I57*$L57*U$9)+(T57/12*10*$F57*$G57*$J57*$L57*U$9)</f>
        <v>0</v>
      </c>
      <c r="V57" s="37">
        <v>0</v>
      </c>
      <c r="W57" s="36">
        <f>SUM(V57/12*2*$E57*$G57*$I57*$L57*$W$9)+(V57/12*10*$F57*$G57*$J57*$L57*$W$9)</f>
        <v>0</v>
      </c>
      <c r="X57" s="37">
        <v>0</v>
      </c>
      <c r="Y57" s="38">
        <f>SUM(X57/12*2*$E57*$G57*$I57*$L57*Y$9)+(X57/12*10*$F57*$G57*$J57*$L57*Y$9)</f>
        <v>0</v>
      </c>
      <c r="Z57" s="37"/>
      <c r="AA57" s="36"/>
      <c r="AB57" s="36">
        <v>0</v>
      </c>
      <c r="AC57" s="36">
        <f>(AB57/12*2*$E57*$G57*$I57*$L57)+(AB57/12*10*$F57*$G57*$J57*$L57)</f>
        <v>0</v>
      </c>
      <c r="AD57" s="37">
        <v>0</v>
      </c>
      <c r="AE57" s="36">
        <f>(AD57/12*2*$E57*$G57*$I57*$L57*AE$9)+(AD57/12*10*$F57*$G57*$J57*$L57*AE$9)</f>
        <v>0</v>
      </c>
      <c r="AF57" s="37">
        <v>0</v>
      </c>
      <c r="AG57" s="36">
        <f>(AF57/12*2*$E57*$G57*$I57*$M57*AG$9)+(AF57/12*10*$F57*$G57*$J57*$M57*AG$9)</f>
        <v>0</v>
      </c>
      <c r="AH57" s="58">
        <f>64-19</f>
        <v>45</v>
      </c>
      <c r="AI57" s="36">
        <f>(AH57/12*2*$E57*$G57*$I57*$M57*$AI$9)+(AH57/12*10*$F57*$G57*$J57*$M57*$AI$9)</f>
        <v>628723.36800000002</v>
      </c>
      <c r="AJ57" s="36">
        <v>19</v>
      </c>
      <c r="AK57" s="36">
        <v>265420.75000000012</v>
      </c>
      <c r="AL57" s="37"/>
      <c r="AM57" s="36">
        <f>SUM(AL57/12*2*$E57*$G57*$I57*$L57*AM$9)+(AL57/12*10*$F57*$G57*$J57*$L57*AM$9)</f>
        <v>0</v>
      </c>
      <c r="AN57" s="37"/>
      <c r="AO57" s="36">
        <f>SUM(AN57/12*2*$E57*$G57*$I57*$L57*$AE$9)+(AN57/12*10*$F57*$G57*$J57*$L57*$AE$9)</f>
        <v>0</v>
      </c>
      <c r="AP57" s="37"/>
      <c r="AQ57" s="36"/>
      <c r="AR57" s="37"/>
      <c r="AS57" s="36">
        <f>SUM(AR57/12*2*$E57*$G57*$I57*$L57*AS$9)+(AR57/12*10*$F57*$G57*$J57*$L57*AS$9)</f>
        <v>0</v>
      </c>
      <c r="AT57" s="37"/>
      <c r="AU57" s="36">
        <f>SUM(AT57/12*2*$E57*$G57*$I57*$L57*$AI$9)+(AT57/12*10*$F57*$G57*$J57*$L57*$AI$9)</f>
        <v>0</v>
      </c>
      <c r="AV57" s="37"/>
      <c r="AW57" s="36">
        <f>SUM(AV57/12*2*$E57*$G57*$I57*$L57*AW$9)+(AV57/12*10*$F57*$G57*$J57*$L57*AW$9)</f>
        <v>0</v>
      </c>
      <c r="AX57" s="37">
        <v>0</v>
      </c>
      <c r="AY57" s="36">
        <f>SUM(AX57/12*2*$E57*$G57*$I57*$L57*AY$9)+(AX57/12*10*$F57*$G57*$J57*$L57*AY$9)</f>
        <v>0</v>
      </c>
      <c r="AZ57" s="37">
        <v>0</v>
      </c>
      <c r="BA57" s="36">
        <f>SUM(AZ57/12*2*$E57*$G57*$I57*$L57*BA$9)+(AZ57/12*10*$F57*$G57*$J57*$L57*BA$9)</f>
        <v>0</v>
      </c>
      <c r="BB57" s="36"/>
      <c r="BC57" s="36">
        <f>SUM(BB57/12*2*$E57*$G57*$I57*$L57*BC$9)+(BB57/12*10*$F57*$G57*$J57*$L57*BC$9)</f>
        <v>0</v>
      </c>
      <c r="BD57" s="36">
        <v>2</v>
      </c>
      <c r="BE57" s="36">
        <f>SUM(BD57/12*2*$E57*$G57*$I57*$L57*BE$9)+(BD57/12*10*$F57*$G57*$J57*$L57*BE$9)</f>
        <v>23286.050666666662</v>
      </c>
      <c r="BF57" s="36">
        <v>43</v>
      </c>
      <c r="BG57" s="39">
        <f>(BF57/12*2*$E57*$G57*$I57*$M57*BG$9)+(BF57/12*10*$F57*$G57*$J57*$M57*BG$9)</f>
        <v>600780.10719999997</v>
      </c>
      <c r="BH57" s="63">
        <v>70</v>
      </c>
      <c r="BI57" s="36">
        <f>(BH57/12*2*$E57*$G57*$I57*$M57*BI$9)+(BH57/12*10*$F57*$G57*$J57*$M57*BI$9)</f>
        <v>978014.12799999991</v>
      </c>
      <c r="BJ57" s="37"/>
      <c r="BK57" s="36">
        <f>(BJ57/12*2*$E57*$G57*$I57*$M57*BK$9)+(BJ57/12*10*$F57*$G57*$J57*$M57*BK$9)</f>
        <v>0</v>
      </c>
      <c r="BL57" s="37"/>
      <c r="BM57" s="36">
        <f>(BL57/12*2*$E57*$G57*$I57*$M57*BM$9)+(BL57/12*10*$F57*$G57*$J57*$M57*BM$9)</f>
        <v>0</v>
      </c>
      <c r="BN57" s="36"/>
      <c r="BO57" s="36">
        <f>(BN57/12*10*$F57*$G57*$J57*$M57*BO$9)</f>
        <v>0</v>
      </c>
      <c r="BP57" s="39"/>
      <c r="BQ57" s="36"/>
      <c r="BR57" s="36"/>
      <c r="BS57" s="36">
        <f>(BR57/12*10*$F57*$G57*$J57*$M57*BS$9)</f>
        <v>0</v>
      </c>
      <c r="BT57" s="37"/>
      <c r="BU57" s="36"/>
      <c r="BV57" s="36">
        <v>3</v>
      </c>
      <c r="BW57" s="36">
        <f>(BV57/12*2*$E57*$G57*$I57*$M57*BW$9)+(BV57/12*10*$F57*$G57*$J57*$M57*BW$9)</f>
        <v>41914.891199999998</v>
      </c>
      <c r="BX57" s="36">
        <v>1</v>
      </c>
      <c r="BY57" s="36">
        <f>(BX57/12*2*$E57*$G57*$I57*$M57*BY$9)+(BX57/12*10*$F57*$G57*$J57*$M57*BY$9)</f>
        <v>13971.6304</v>
      </c>
      <c r="BZ57" s="37"/>
      <c r="CA57" s="36">
        <f>(BZ57/12*2*$E57*$G57*$I57*$M57*CA$9)+(BZ57/12*10*$F57*$G57*$J57*$M57*CA$9)</f>
        <v>0</v>
      </c>
      <c r="CB57" s="36">
        <v>2</v>
      </c>
      <c r="CC57" s="36">
        <v>28000.62</v>
      </c>
      <c r="CD57" s="36">
        <v>5</v>
      </c>
      <c r="CE57" s="36">
        <f>(CD57/12*2*$E57*$G57*$I57*$M57*CE$9)+(CD57/12*10*$F57*$G57*$J57*$M57*CE$9)</f>
        <v>69858.152000000002</v>
      </c>
      <c r="CF57" s="58"/>
      <c r="CG57" s="36">
        <f>(CF57/12*2*$E57*$G57*$I57*$N57*CG$9)+(CF57/12*10*$F57*$G57*$J57*$N57*CG$9)</f>
        <v>0</v>
      </c>
      <c r="CH57" s="40"/>
      <c r="CI57" s="36">
        <f>(CH57/12*2*$E57*$G57*$I57*$O57*$CI$9)+(CH57/12*10*$F57*$G57*$J57*$O57*$CI$9)</f>
        <v>0</v>
      </c>
      <c r="CJ57" s="36"/>
      <c r="CK57" s="36"/>
      <c r="CL57" s="36"/>
      <c r="CM57" s="36"/>
      <c r="CN57" s="41"/>
      <c r="CO57" s="41"/>
      <c r="CP57" s="42">
        <f t="shared" si="66"/>
        <v>194</v>
      </c>
      <c r="CQ57" s="42">
        <f t="shared" si="66"/>
        <v>2696541.7988</v>
      </c>
    </row>
    <row r="58" spans="1:95" s="3" customFormat="1" ht="30" hidden="1" customHeight="1" x14ac:dyDescent="0.25">
      <c r="A58" s="54"/>
      <c r="B58" s="54">
        <v>37</v>
      </c>
      <c r="C58" s="55" t="s">
        <v>193</v>
      </c>
      <c r="D58" s="109" t="s">
        <v>194</v>
      </c>
      <c r="E58" s="110">
        <v>16026</v>
      </c>
      <c r="F58" s="110">
        <v>16828</v>
      </c>
      <c r="G58" s="33">
        <v>0.65</v>
      </c>
      <c r="H58" s="34"/>
      <c r="I58" s="35">
        <v>1</v>
      </c>
      <c r="J58" s="118">
        <v>0.95</v>
      </c>
      <c r="K58" s="35"/>
      <c r="L58" s="97">
        <v>1.4</v>
      </c>
      <c r="M58" s="97">
        <v>1.68</v>
      </c>
      <c r="N58" s="97">
        <v>2.23</v>
      </c>
      <c r="O58" s="97">
        <v>2.57</v>
      </c>
      <c r="P58" s="36"/>
      <c r="Q58" s="36">
        <f>SUM(P58/12*2*$E58*$G58*$I58*$L58*$Q$9)+(P58/12*10*$F58*$G58*$J58*$L58*$Q$9)</f>
        <v>0</v>
      </c>
      <c r="R58" s="37"/>
      <c r="S58" s="36">
        <f>SUM(R58/12*2*$E58*$G58*$I58*$L58*S$9)+(R58/12*10*$F58*$G58*$J58*$L58*S$9)</f>
        <v>0</v>
      </c>
      <c r="T58" s="36"/>
      <c r="U58" s="36">
        <f>SUM(T58/12*2*$E58*$G58*$I58*$L58*U$9)+(T58/12*10*$F58*$G58*$J58*$L58*U$9)</f>
        <v>0</v>
      </c>
      <c r="V58" s="37"/>
      <c r="W58" s="36">
        <f>SUM(V58/12*2*$E58*$G58*$I58*$L58*$W$9)+(V58/12*10*$F58*$G58*$J58*$L58*$W$9)</f>
        <v>0</v>
      </c>
      <c r="X58" s="37"/>
      <c r="Y58" s="38">
        <f>SUM(X58/12*2*$E58*$G58*$I58*$L58*Y$9)+(X58/12*10*$F58*$G58*$J58*$L58*Y$9)</f>
        <v>0</v>
      </c>
      <c r="Z58" s="37"/>
      <c r="AA58" s="36"/>
      <c r="AB58" s="37">
        <v>0</v>
      </c>
      <c r="AC58" s="36">
        <f>(AB58/12*2*$E58*$G58*$I58*$L58)+(AB58/12*10*$F58*$G58*$J58*$L58)</f>
        <v>0</v>
      </c>
      <c r="AD58" s="37">
        <v>0</v>
      </c>
      <c r="AE58" s="36">
        <f>(AD58/12*2*$E58*$G58*$I58*$L58*AE$9)+(AD58/12*10*$F58*$G58*$J58*$L58*AE$9)</f>
        <v>0</v>
      </c>
      <c r="AF58" s="37">
        <v>0</v>
      </c>
      <c r="AG58" s="36">
        <f>(AF58/12*2*$E58*$G58*$I58*$M58*AG$9)+(AF58/12*10*$F58*$G58*$J58*$M58*AG$9)</f>
        <v>0</v>
      </c>
      <c r="AH58" s="36">
        <v>0</v>
      </c>
      <c r="AI58" s="36">
        <f>(AH58/12*2*$E58*$G58*$I58*$M58*$AI$9)+(AH58/12*10*$F58*$G58*$J58*$M58*$AI$9)</f>
        <v>0</v>
      </c>
      <c r="AJ58" s="36">
        <v>0</v>
      </c>
      <c r="AK58" s="36">
        <v>0</v>
      </c>
      <c r="AL58" s="37"/>
      <c r="AM58" s="36">
        <f>SUM(AL58/12*2*$E58*$G58*$I58*$L58*AM$9)+(AL58/12*10*$F58*$G58*$J58*$L58*AM$9)</f>
        <v>0</v>
      </c>
      <c r="AN58" s="37"/>
      <c r="AO58" s="36">
        <f>SUM(AN58/12*2*$E58*$G58*$I58*$L58*$AE$9)+(AN58/12*10*$F58*$G58*$J58*$L58*$AE$9)</f>
        <v>0</v>
      </c>
      <c r="AP58" s="37"/>
      <c r="AQ58" s="36"/>
      <c r="AR58" s="37"/>
      <c r="AS58" s="36">
        <f>SUM(AR58/12*2*$E58*$G58*$I58*$L58*AS$9)+(AR58/12*10*$F58*$G58*$J58*$L58*AS$9)</f>
        <v>0</v>
      </c>
      <c r="AT58" s="37"/>
      <c r="AU58" s="36">
        <f>SUM(AT58/12*2*$E58*$G58*$I58*$L58*$AI$9)+(AT58/12*10*$F58*$G58*$J58*$L58*$AI$9)</f>
        <v>0</v>
      </c>
      <c r="AV58" s="37"/>
      <c r="AW58" s="36">
        <f>SUM(AV58/12*2*$E58*$G58*$I58*$L58*AW$9)+(AV58/12*10*$F58*$G58*$J58*$L58*AW$9)</f>
        <v>0</v>
      </c>
      <c r="AX58" s="37"/>
      <c r="AY58" s="36">
        <f>SUM(AX58/12*2*$E58*$G58*$I58*$L58*AY$9)+(AX58/12*10*$F58*$G58*$J58*$L58*AY$9)</f>
        <v>0</v>
      </c>
      <c r="AZ58" s="37"/>
      <c r="BA58" s="36">
        <f>SUM(AZ58/12*2*$E58*$G58*$I58*$L58*BA$9)+(AZ58/12*10*$F58*$G58*$J58*$L58*BA$9)</f>
        <v>0</v>
      </c>
      <c r="BB58" s="37"/>
      <c r="BC58" s="36">
        <f>SUM(BB58/12*2*$E58*$G58*$I58*$L58*BC$9)+(BB58/12*10*$F58*$G58*$J58*$L58*BC$9)</f>
        <v>0</v>
      </c>
      <c r="BD58" s="36">
        <v>113</v>
      </c>
      <c r="BE58" s="36">
        <f>SUM(BD58/12*2*$E58*$G58*$I58*$L58*BE$9)+(BD58/12*10*$F58*$G58*$J58*$L58*BE$9)</f>
        <v>1644577.3283333331</v>
      </c>
      <c r="BF58" s="36">
        <v>22</v>
      </c>
      <c r="BG58" s="39">
        <f>(BF58/12*2*$E58*$G58*$I58*$M58*BG$9)+(BF58/12*10*$F58*$G58*$J58*$M58*BG$9)</f>
        <v>384219.83599999995</v>
      </c>
      <c r="BH58" s="63">
        <v>170</v>
      </c>
      <c r="BI58" s="36">
        <f>(BH58/12*2*$E58*$G58*$I58*$M58*BI$9)+(BH58/12*10*$F58*$G58*$J58*$M58*BI$9)</f>
        <v>2968971.4599999995</v>
      </c>
      <c r="BJ58" s="37"/>
      <c r="BK58" s="36">
        <f>(BJ58/12*2*$E58*$G58*$I58*$M58*BK$9)+(BJ58/12*10*$F58*$G58*$J58*$M58*BK$9)</f>
        <v>0</v>
      </c>
      <c r="BL58" s="40"/>
      <c r="BM58" s="36">
        <f>(BL58/12*2*$E58*$G58*$I58*$M58*BM$9)+(BL58/12*10*$F58*$G58*$J58*$M58*BM$9)</f>
        <v>0</v>
      </c>
      <c r="BN58" s="36">
        <v>63</v>
      </c>
      <c r="BO58" s="36">
        <f>(BN58/12*10*$F58*$G58*$J58*$M58*BO$9)</f>
        <v>916511.77799999993</v>
      </c>
      <c r="BP58" s="39">
        <v>0</v>
      </c>
      <c r="BQ58" s="36"/>
      <c r="BR58" s="58"/>
      <c r="BS58" s="36">
        <f>(BR58/12*10*$F58*$G58*$J58*$M58*BS$9)</f>
        <v>0</v>
      </c>
      <c r="BT58" s="37"/>
      <c r="BU58" s="36"/>
      <c r="BV58" s="36">
        <v>2</v>
      </c>
      <c r="BW58" s="36">
        <f>(BV58/12*2*$E58*$G58*$I58*$M58*BW$9)+(BV58/12*10*$F58*$G58*$J58*$M58*BW$9)</f>
        <v>34929.076000000001</v>
      </c>
      <c r="BX58" s="36">
        <v>5</v>
      </c>
      <c r="BY58" s="36">
        <f>(BX58/12*2*$E58*$G58*$I58*$M58*BY$9)+(BX58/12*10*$F58*$G58*$J58*$M58*BY$9)</f>
        <v>87322.69</v>
      </c>
      <c r="BZ58" s="37"/>
      <c r="CA58" s="36">
        <f>(BZ58/12*2*$E58*$G58*$I58*$M58*CA$9)+(BZ58/12*10*$F58*$G58*$J58*$M58*CA$9)</f>
        <v>0</v>
      </c>
      <c r="CB58" s="36">
        <v>10</v>
      </c>
      <c r="CC58" s="36">
        <v>69872.499999999985</v>
      </c>
      <c r="CD58" s="37"/>
      <c r="CE58" s="36">
        <f>(CD58/12*2*$E58*$G58*$I58*$M58*CE$9)+(CD58/12*10*$F58*$G58*$J58*$M58*CE$9)</f>
        <v>0</v>
      </c>
      <c r="CF58" s="36"/>
      <c r="CG58" s="36">
        <f>(CF58/12*2*$E58*$G58*$I58*$N58*CG$9)+(CF58/12*10*$F58*$G58*$J58*$N58*CG$9)</f>
        <v>0</v>
      </c>
      <c r="CH58" s="37"/>
      <c r="CI58" s="36">
        <f>(CH58/12*2*$E58*$G58*$I58*$O58*$CI$9)+(CH58/12*10*$F58*$G58*$J58*$O58*$CI$9)</f>
        <v>0</v>
      </c>
      <c r="CJ58" s="36"/>
      <c r="CK58" s="36"/>
      <c r="CL58" s="36"/>
      <c r="CM58" s="36"/>
      <c r="CN58" s="41"/>
      <c r="CO58" s="41"/>
      <c r="CP58" s="42">
        <f t="shared" si="66"/>
        <v>385</v>
      </c>
      <c r="CQ58" s="42">
        <f t="shared" si="66"/>
        <v>6106404.668333333</v>
      </c>
    </row>
    <row r="59" spans="1:95" s="3" customFormat="1" ht="30" hidden="1" customHeight="1" x14ac:dyDescent="0.25">
      <c r="A59" s="54"/>
      <c r="B59" s="54">
        <v>38</v>
      </c>
      <c r="C59" s="67" t="s">
        <v>195</v>
      </c>
      <c r="D59" s="68" t="s">
        <v>196</v>
      </c>
      <c r="E59" s="110">
        <v>16026</v>
      </c>
      <c r="F59" s="110">
        <v>16828</v>
      </c>
      <c r="G59" s="67">
        <v>0.97</v>
      </c>
      <c r="H59" s="62">
        <v>0.71530000000000005</v>
      </c>
      <c r="I59" s="35">
        <v>1</v>
      </c>
      <c r="J59" s="111"/>
      <c r="K59" s="35"/>
      <c r="L59" s="97">
        <v>1.4</v>
      </c>
      <c r="M59" s="97">
        <v>1.68</v>
      </c>
      <c r="N59" s="97">
        <v>2.23</v>
      </c>
      <c r="O59" s="97">
        <v>2.57</v>
      </c>
      <c r="P59" s="36"/>
      <c r="Q59" s="48">
        <f>(P59/12*2*$E59*$G59*((1-$H59)+$H59*$L59*$I59))+(P59/12*10*$F59*$G59*((1-$H59)+$H59*$L59*$I59))</f>
        <v>0</v>
      </c>
      <c r="R59" s="37"/>
      <c r="S59" s="48">
        <f>(R59/12*2*$E59*$G59*((1-$H59)+$H59*$L59*$I59))+(R59/12*10*$F59*$G59*((1-$H59)+$H59*$L59*$I59))</f>
        <v>0</v>
      </c>
      <c r="T59" s="36"/>
      <c r="U59" s="48">
        <f>(T59/12*2*$E59*$G59*((1-$H59)+$H59*$L59*$I59))+(T59/12*10*$F59*$G59*((1-$H59)+$H59*$L59*$I59))</f>
        <v>0</v>
      </c>
      <c r="V59" s="37"/>
      <c r="W59" s="48">
        <f>(V59/12*2*$E59*$G59*((1-$H59)+$H59*$L59*$I59))+(V59/12*10*$F59*$G59*((1-$H59)+$H59*$L59*$I59))</f>
        <v>0</v>
      </c>
      <c r="X59" s="37"/>
      <c r="Y59" s="48">
        <f>(X59/12*2*$E59*$G59*((1-$H59)+$H59*$L59*$I59))+(X59/12*10*$F59*$G59*((1-$H59)+$H59*$L59*$I59))</f>
        <v>0</v>
      </c>
      <c r="Z59" s="37"/>
      <c r="AA59" s="48">
        <f>(Z59/12*2*$E59*$G59*((1-$H59)+$H59*$L59*$I59))+(Z59/12*10*$F59*$G59*((1-$H59)+$H59*$L59*$I59))</f>
        <v>0</v>
      </c>
      <c r="AB59" s="37"/>
      <c r="AC59" s="36"/>
      <c r="AD59" s="37"/>
      <c r="AE59" s="48">
        <f>(AD59/12*2*$E59*$G59*((1-$H59)+$H59*$L59*$I59))+(AD59/12*10*$F59*$G59*((1-$H59)+$H59*$L59*$I59))</f>
        <v>0</v>
      </c>
      <c r="AF59" s="37"/>
      <c r="AG59" s="48">
        <f>(AF59/12*2*$E59*$G59*((1-$H59)+$H59*$M59*$I59))+(AF59/12*10*$F59*$G59*((1-$H59)+$H59*$M59*$I59))</f>
        <v>0</v>
      </c>
      <c r="AH59" s="36"/>
      <c r="AI59" s="48">
        <f>(AH59/12*2*$E59*$G59*((1-$H59)+$H59*$M59*$I59))+(AH59/12*10*$F59*$G59*((1-$H59)+$H59*$M59*$I59))</f>
        <v>0</v>
      </c>
      <c r="AJ59" s="48">
        <v>0</v>
      </c>
      <c r="AK59" s="48">
        <v>0</v>
      </c>
      <c r="AL59" s="37"/>
      <c r="AM59" s="36"/>
      <c r="AN59" s="37"/>
      <c r="AO59" s="36"/>
      <c r="AP59" s="37"/>
      <c r="AQ59" s="36"/>
      <c r="AR59" s="37"/>
      <c r="AS59" s="48"/>
      <c r="AT59" s="37"/>
      <c r="AU59" s="36"/>
      <c r="AV59" s="37"/>
      <c r="AW59" s="48"/>
      <c r="AX59" s="37"/>
      <c r="AY59" s="48"/>
      <c r="AZ59" s="37"/>
      <c r="BA59" s="48"/>
      <c r="BB59" s="37"/>
      <c r="BC59" s="36"/>
      <c r="BD59" s="36"/>
      <c r="BE59" s="48">
        <f>(BD59/12*2*$E59*$G59*((1-$H59)+$H59*$L59*$I59*BE$9))+(BD59/12*10*$F59*$G59*((1-$H59)+$H59*$L59*$I59*BE$9))</f>
        <v>0</v>
      </c>
      <c r="BF59" s="37"/>
      <c r="BG59" s="48">
        <f>(BF59/12*2*$E59*$G59*((1-$H59)+$H59*$M59*$I59*BG$9))+(BF59/12*10*$F59*$G59*((1-$H59)+$H59*$M59*$I59*BG$9))</f>
        <v>0</v>
      </c>
      <c r="BH59" s="63"/>
      <c r="BI59" s="48">
        <f>(BH59/12*2*$E59*$G59*((1-$H59)+$H59*$M59*$I59*BI$9))+(BH59/12*10*$F59*$G59*((1-$H59)+$H59*$M59*$I59*BI$9))</f>
        <v>0</v>
      </c>
      <c r="BJ59" s="37"/>
      <c r="BK59" s="48">
        <f>(BJ59/12*2*$E59*$G59*((1-$H59)+$H59*$M59*$I59*BK$9))+(BJ59/12*10*$F59*$G59*((1-$H59)+$H59*$M59*$I59*BK$9))</f>
        <v>0</v>
      </c>
      <c r="BL59" s="40"/>
      <c r="BM59" s="48">
        <f>(BL59/12*2*$E59*$G59*((1-$H59)+$H59*$M59*$I59*BM$9))+(BL59/12*10*$F59*$G59*((1-$H59)+$H59*$M59*$I59*BM$9))</f>
        <v>0</v>
      </c>
      <c r="BN59" s="36"/>
      <c r="BO59" s="48">
        <f>(BN59/12*10*$F59*$G59*((1-$H59)+$H59*$M59*$I59*BO$9))</f>
        <v>0</v>
      </c>
      <c r="BP59" s="39"/>
      <c r="BQ59" s="36"/>
      <c r="BR59" s="40"/>
      <c r="BS59" s="48">
        <f>(BR59/12*10*$F59*$G59*((1-$H59)+$H59*$M59*$I59*BS$9))</f>
        <v>0</v>
      </c>
      <c r="BT59" s="37"/>
      <c r="BU59" s="48">
        <f>(BT59/12*2*$E59*$G59*((1-$H59)+$H59*$M59*$I59*BU$9))+(BT59/12*10*$F59*$G59*((1-$H59)+$H59*$M59*$I59*BU$9))</f>
        <v>0</v>
      </c>
      <c r="BV59" s="36"/>
      <c r="BW59" s="48">
        <f>(BV59/12*2*$E59*$G59*((1-$H59)+$H59*$M59*$I59*BW$9))+(BV59/12*10*$F59*$G59*((1-$H59)+$H59*$M59*$I59*BW$9))</f>
        <v>0</v>
      </c>
      <c r="BX59" s="36"/>
      <c r="BY59" s="48">
        <f>(BX59/12*2*$E59*$G59*((1-$H59)+$H59*$M59*$I59*BY$9))+(BX59/12*10*$F59*$G59*((1-$H59)+$H59*$M59*$I59*BY$9))</f>
        <v>0</v>
      </c>
      <c r="BZ59" s="37"/>
      <c r="CA59" s="48">
        <f>(BZ59/12*2*$E59*$G59*((1-$H59)+$H59*$M59*$I59*CA$9))+(BZ59/12*10*$F59*$G59*((1-$H59)+$H59*$M59*$I59*CA$9))</f>
        <v>0</v>
      </c>
      <c r="CB59" s="36"/>
      <c r="CC59" s="48">
        <f>(CB59/12*2*$E59*$G59*((1-$H59)+$H59*$M59*$I59*CC$9))+(CB59/12*10*$F59*$G59*((1-$H59)+$H59*$M59*$I59*CC$9))</f>
        <v>0</v>
      </c>
      <c r="CD59" s="37"/>
      <c r="CE59" s="48">
        <f>(CD59/12*2*$E59*$G59*((1-$H59)+$H59*$M59*$I59*CE$9))+(CD59/12*10*$F59*$G59*((1-$H59)+$H59*$M59*$I59*CE$9))</f>
        <v>0</v>
      </c>
      <c r="CF59" s="36"/>
      <c r="CG59" s="48">
        <f>(CF59/12*2*$E59*$G59*((1-$H59)+$H59*$N59*$I59*CG$9))+(CF59/12*10*$F59*$G59*((1-$H59)+$H59*$N59*$I59*CG$9))</f>
        <v>0</v>
      </c>
      <c r="CH59" s="37"/>
      <c r="CI59" s="48">
        <f>(CH59/12*2*$E59*$G59*((1-$H59)+$H59*$O59*$I59))+(CH59/12*10*$F59*$G59*((1-$H59)+$H59*$O59*$I59))</f>
        <v>0</v>
      </c>
      <c r="CJ59" s="36"/>
      <c r="CK59" s="36"/>
      <c r="CL59" s="36"/>
      <c r="CM59" s="36"/>
      <c r="CN59" s="41"/>
      <c r="CO59" s="41"/>
      <c r="CP59" s="42">
        <f t="shared" si="66"/>
        <v>0</v>
      </c>
      <c r="CQ59" s="42">
        <f t="shared" si="66"/>
        <v>0</v>
      </c>
    </row>
    <row r="60" spans="1:95" s="3" customFormat="1" ht="30" hidden="1" customHeight="1" x14ac:dyDescent="0.25">
      <c r="A60" s="54"/>
      <c r="B60" s="54">
        <v>39</v>
      </c>
      <c r="C60" s="67" t="s">
        <v>197</v>
      </c>
      <c r="D60" s="68" t="s">
        <v>198</v>
      </c>
      <c r="E60" s="110">
        <v>16026</v>
      </c>
      <c r="F60" s="110">
        <v>16828</v>
      </c>
      <c r="G60" s="67">
        <v>10.82</v>
      </c>
      <c r="H60" s="62">
        <v>7.7399999999999997E-2</v>
      </c>
      <c r="I60" s="35">
        <v>1</v>
      </c>
      <c r="J60" s="111"/>
      <c r="K60" s="35"/>
      <c r="L60" s="97">
        <v>1.4</v>
      </c>
      <c r="M60" s="97">
        <v>1.68</v>
      </c>
      <c r="N60" s="97">
        <v>2.23</v>
      </c>
      <c r="O60" s="97">
        <v>2.57</v>
      </c>
      <c r="P60" s="36"/>
      <c r="Q60" s="48">
        <f>(P60/12*2*$E60*$G60*((1-$H60)+$H60*$L60*$I60))+(P60/12*10*$F60*$G60*((1-$H60)+$H60*$L60*$I60))</f>
        <v>0</v>
      </c>
      <c r="R60" s="37"/>
      <c r="S60" s="48">
        <f>(R60/12*2*$E60*$G60*((1-$H60)+$H60*$L60*$I60))+(R60/12*10*$F60*$G60*((1-$H60)+$H60*$L60*$I60))</f>
        <v>0</v>
      </c>
      <c r="T60" s="36"/>
      <c r="U60" s="48">
        <f>(T60/12*2*$E60*$G60*((1-$H60)+$H60*$L60*$I60))+(T60/12*10*$F60*$G60*((1-$H60)+$H60*$L60*$I60))</f>
        <v>0</v>
      </c>
      <c r="V60" s="37"/>
      <c r="W60" s="48">
        <f>(V60/12*2*$E60*$G60*((1-$H60)+$H60*$L60*$I60))+(V60/12*10*$F60*$G60*((1-$H60)+$H60*$L60*$I60))</f>
        <v>0</v>
      </c>
      <c r="X60" s="37"/>
      <c r="Y60" s="48">
        <f>(X60/12*2*$E60*$G60*((1-$H60)+$H60*$L60*$I60))+(X60/12*10*$F60*$G60*((1-$H60)+$H60*$L60*$I60))</f>
        <v>0</v>
      </c>
      <c r="Z60" s="37"/>
      <c r="AA60" s="48">
        <f>(Z60/12*2*$E60*$G60*((1-$H60)+$H60*$L60*$I60))+(Z60/12*10*$F60*$G60*((1-$H60)+$H60*$L60*$I60))</f>
        <v>0</v>
      </c>
      <c r="AB60" s="37"/>
      <c r="AC60" s="36"/>
      <c r="AD60" s="37"/>
      <c r="AE60" s="48">
        <f>(AD60/12*2*$E60*$G60*((1-$H60)+$H60*$L60*$I60))+(AD60/12*10*$F60*$G60*((1-$H60)+$H60*$L60*$I60))</f>
        <v>0</v>
      </c>
      <c r="AF60" s="37"/>
      <c r="AG60" s="48">
        <f>(AF60/12*2*$E60*$G60*((1-$H60)+$H60*$M60*$I60))+(AF60/12*10*$F60*$G60*((1-$H60)+$H60*$M60*$I60))</f>
        <v>0</v>
      </c>
      <c r="AH60" s="36"/>
      <c r="AI60" s="48">
        <f>(AH60/12*2*$E60*$G60*((1-$H60)+$H60*$M60*$I60))+(AH60/12*10*$F60*$G60*((1-$H60)+$H60*$M60*$I60))</f>
        <v>0</v>
      </c>
      <c r="AJ60" s="48">
        <v>0</v>
      </c>
      <c r="AK60" s="48">
        <v>0</v>
      </c>
      <c r="AL60" s="37"/>
      <c r="AM60" s="36"/>
      <c r="AN60" s="37"/>
      <c r="AO60" s="36"/>
      <c r="AP60" s="37"/>
      <c r="AQ60" s="36"/>
      <c r="AR60" s="37"/>
      <c r="AS60" s="48"/>
      <c r="AT60" s="37"/>
      <c r="AU60" s="36"/>
      <c r="AV60" s="37"/>
      <c r="AW60" s="48"/>
      <c r="AX60" s="37"/>
      <c r="AY60" s="48"/>
      <c r="AZ60" s="37"/>
      <c r="BA60" s="48"/>
      <c r="BB60" s="37"/>
      <c r="BC60" s="36"/>
      <c r="BD60" s="36"/>
      <c r="BE60" s="48">
        <f>(BD60/12*2*$E60*$G60*((1-$H60)+$H60*$L60*$I60*BE$9))+(BD60/12*10*$F60*$G60*((1-$H60)+$H60*$L60*$I60*BE$9))</f>
        <v>0</v>
      </c>
      <c r="BF60" s="37"/>
      <c r="BG60" s="48">
        <f>(BF60/12*2*$E60*$G60*((1-$H60)+$H60*$M60*$I60*BG$9))+(BF60/12*10*$F60*$G60*((1-$H60)+$H60*$M60*$I60*BG$9))</f>
        <v>0</v>
      </c>
      <c r="BH60" s="63"/>
      <c r="BI60" s="48">
        <f>(BH60/12*2*$E60*$G60*((1-$H60)+$H60*$M60*$I60*BI$9))+(BH60/12*10*$F60*$G60*((1-$H60)+$H60*$M60*$I60*BI$9))</f>
        <v>0</v>
      </c>
      <c r="BJ60" s="37"/>
      <c r="BK60" s="48">
        <f>(BJ60/12*2*$E60*$G60*((1-$H60)+$H60*$M60*$I60*BK$9))+(BJ60/12*10*$F60*$G60*((1-$H60)+$H60*$M60*$I60*BK$9))</f>
        <v>0</v>
      </c>
      <c r="BL60" s="40"/>
      <c r="BM60" s="48">
        <f>(BL60/12*2*$E60*$G60*((1-$H60)+$H60*$M60*$I60*BM$9))+(BL60/12*10*$F60*$G60*((1-$H60)+$H60*$M60*$I60*BM$9))</f>
        <v>0</v>
      </c>
      <c r="BN60" s="36"/>
      <c r="BO60" s="48">
        <f>(BN60/12*10*$F60*$G60*((1-$H60)+$H60*$M60*$I60*BO$9))</f>
        <v>0</v>
      </c>
      <c r="BP60" s="39"/>
      <c r="BQ60" s="36"/>
      <c r="BR60" s="40"/>
      <c r="BS60" s="48">
        <f>(BR60/12*10*$F60*$G60*((1-$H60)+$H60*$M60*$I60*BS$9))</f>
        <v>0</v>
      </c>
      <c r="BT60" s="37"/>
      <c r="BU60" s="48">
        <f>(BT60/12*2*$E60*$G60*((1-$H60)+$H60*$M60*$I60*BU$9))+(BT60/12*10*$F60*$G60*((1-$H60)+$H60*$M60*$I60*BU$9))</f>
        <v>0</v>
      </c>
      <c r="BV60" s="36"/>
      <c r="BW60" s="48">
        <f>(BV60/12*2*$E60*$G60*((1-$H60)+$H60*$M60*$I60*BW$9))+(BV60/12*10*$F60*$G60*((1-$H60)+$H60*$M60*$I60*BW$9))</f>
        <v>0</v>
      </c>
      <c r="BX60" s="36"/>
      <c r="BY60" s="48">
        <f>(BX60/12*2*$E60*$G60*((1-$H60)+$H60*$M60*$I60*BY$9))+(BX60/12*10*$F60*$G60*((1-$H60)+$H60*$M60*$I60*BY$9))</f>
        <v>0</v>
      </c>
      <c r="BZ60" s="37"/>
      <c r="CA60" s="48">
        <f>(BZ60/12*2*$E60*$G60*((1-$H60)+$H60*$M60*$I60*CA$9))+(BZ60/12*10*$F60*$G60*((1-$H60)+$H60*$M60*$I60*CA$9))</f>
        <v>0</v>
      </c>
      <c r="CB60" s="36"/>
      <c r="CC60" s="48">
        <f>(CB60/12*2*$E60*$G60*((1-$H60)+$H60*$M60*$I60*CC$9))+(CB60/12*10*$F60*$G60*((1-$H60)+$H60*$M60*$I60*CC$9))</f>
        <v>0</v>
      </c>
      <c r="CD60" s="37"/>
      <c r="CE60" s="48">
        <f>(CD60/12*2*$E60*$G60*((1-$H60)+$H60*$M60*$I60*CE$9))+(CD60/12*10*$F60*$G60*((1-$H60)+$H60*$M60*$I60*CE$9))</f>
        <v>0</v>
      </c>
      <c r="CF60" s="36"/>
      <c r="CG60" s="48">
        <f>(CF60/12*2*$E60*$G60*((1-$H60)+$H60*$N60*$I60*CG$9))+(CF60/12*10*$F60*$G60*((1-$H60)+$H60*$N60*$I60*CG$9))</f>
        <v>0</v>
      </c>
      <c r="CH60" s="37"/>
      <c r="CI60" s="48">
        <f>(CH60/12*2*$E60*$G60*((1-$H60)+$H60*$O60*$I60))+(CH60/12*10*$F60*$G60*((1-$H60)+$H60*$O60*$I60))</f>
        <v>0</v>
      </c>
      <c r="CJ60" s="36"/>
      <c r="CK60" s="36"/>
      <c r="CL60" s="36"/>
      <c r="CM60" s="36"/>
      <c r="CN60" s="41"/>
      <c r="CO60" s="41"/>
      <c r="CP60" s="42">
        <f t="shared" si="66"/>
        <v>0</v>
      </c>
      <c r="CQ60" s="42">
        <f t="shared" si="66"/>
        <v>0</v>
      </c>
    </row>
    <row r="61" spans="1:95" s="61" customFormat="1" ht="18.75" hidden="1" customHeight="1" x14ac:dyDescent="0.25">
      <c r="A61" s="140">
        <v>13</v>
      </c>
      <c r="B61" s="140"/>
      <c r="C61" s="125" t="s">
        <v>199</v>
      </c>
      <c r="D61" s="126" t="s">
        <v>200</v>
      </c>
      <c r="E61" s="110">
        <v>16026</v>
      </c>
      <c r="F61" s="134">
        <v>16828</v>
      </c>
      <c r="G61" s="138">
        <v>0.8</v>
      </c>
      <c r="H61" s="136"/>
      <c r="I61" s="128"/>
      <c r="J61" s="129"/>
      <c r="K61" s="29"/>
      <c r="L61" s="97">
        <v>1.4</v>
      </c>
      <c r="M61" s="97">
        <v>1.68</v>
      </c>
      <c r="N61" s="97">
        <v>2.23</v>
      </c>
      <c r="O61" s="97">
        <v>2.57</v>
      </c>
      <c r="P61" s="139">
        <f>SUM(P62:P63)</f>
        <v>40</v>
      </c>
      <c r="Q61" s="139">
        <f t="shared" ref="Q61:BH61" si="67">SUM(Q62:Q63)</f>
        <v>1353242.6600000001</v>
      </c>
      <c r="R61" s="139">
        <f t="shared" si="67"/>
        <v>0</v>
      </c>
      <c r="S61" s="139">
        <f t="shared" si="67"/>
        <v>0</v>
      </c>
      <c r="T61" s="139">
        <f t="shared" si="67"/>
        <v>0</v>
      </c>
      <c r="U61" s="139">
        <f t="shared" si="67"/>
        <v>0</v>
      </c>
      <c r="V61" s="139">
        <f t="shared" si="67"/>
        <v>0</v>
      </c>
      <c r="W61" s="139">
        <f t="shared" si="67"/>
        <v>0</v>
      </c>
      <c r="X61" s="139">
        <f t="shared" si="67"/>
        <v>0</v>
      </c>
      <c r="Y61" s="139">
        <f t="shared" si="67"/>
        <v>0</v>
      </c>
      <c r="Z61" s="139">
        <f t="shared" si="67"/>
        <v>0</v>
      </c>
      <c r="AA61" s="139">
        <f t="shared" si="67"/>
        <v>0</v>
      </c>
      <c r="AB61" s="139">
        <f t="shared" si="67"/>
        <v>0</v>
      </c>
      <c r="AC61" s="139">
        <f t="shared" si="67"/>
        <v>0</v>
      </c>
      <c r="AD61" s="139">
        <f t="shared" si="67"/>
        <v>29</v>
      </c>
      <c r="AE61" s="139">
        <f t="shared" si="67"/>
        <v>542231.94666666666</v>
      </c>
      <c r="AF61" s="139">
        <f t="shared" si="67"/>
        <v>0</v>
      </c>
      <c r="AG61" s="139">
        <f t="shared" si="67"/>
        <v>0</v>
      </c>
      <c r="AH61" s="139">
        <f>SUM(AH62:AH63)</f>
        <v>69</v>
      </c>
      <c r="AI61" s="139">
        <f t="shared" si="67"/>
        <v>1548165.6959999998</v>
      </c>
      <c r="AJ61" s="139">
        <v>95</v>
      </c>
      <c r="AK61" s="139">
        <v>2112503.6900000027</v>
      </c>
      <c r="AL61" s="139">
        <f t="shared" si="67"/>
        <v>68</v>
      </c>
      <c r="AM61" s="139">
        <f t="shared" si="67"/>
        <v>1271440.4266666668</v>
      </c>
      <c r="AN61" s="139">
        <f t="shared" si="67"/>
        <v>0</v>
      </c>
      <c r="AO61" s="139">
        <f t="shared" si="67"/>
        <v>0</v>
      </c>
      <c r="AP61" s="139">
        <f t="shared" si="67"/>
        <v>0</v>
      </c>
      <c r="AQ61" s="139">
        <f t="shared" si="67"/>
        <v>0</v>
      </c>
      <c r="AR61" s="139">
        <f t="shared" si="67"/>
        <v>0</v>
      </c>
      <c r="AS61" s="139">
        <f t="shared" si="67"/>
        <v>0</v>
      </c>
      <c r="AT61" s="139">
        <f t="shared" si="67"/>
        <v>0</v>
      </c>
      <c r="AU61" s="139">
        <f t="shared" si="67"/>
        <v>0</v>
      </c>
      <c r="AV61" s="139">
        <f t="shared" si="67"/>
        <v>16</v>
      </c>
      <c r="AW61" s="139">
        <f t="shared" si="67"/>
        <v>299162.45333333331</v>
      </c>
      <c r="AX61" s="139">
        <f t="shared" si="67"/>
        <v>305</v>
      </c>
      <c r="AY61" s="139">
        <f t="shared" si="67"/>
        <v>5702784.2666666666</v>
      </c>
      <c r="AZ61" s="139">
        <f t="shared" si="67"/>
        <v>44</v>
      </c>
      <c r="BA61" s="139">
        <f>SUM(BA62:BA63)</f>
        <v>822696.74666666659</v>
      </c>
      <c r="BB61" s="139">
        <f t="shared" si="67"/>
        <v>0</v>
      </c>
      <c r="BC61" s="139">
        <f>SUM(BC62:BC63)</f>
        <v>0</v>
      </c>
      <c r="BD61" s="139">
        <f t="shared" si="67"/>
        <v>470</v>
      </c>
      <c r="BE61" s="139">
        <f t="shared" si="67"/>
        <v>8787897.0666666664</v>
      </c>
      <c r="BF61" s="139">
        <f t="shared" si="67"/>
        <v>200</v>
      </c>
      <c r="BG61" s="139">
        <f t="shared" si="67"/>
        <v>4487436.8</v>
      </c>
      <c r="BH61" s="139">
        <f t="shared" si="67"/>
        <v>0</v>
      </c>
      <c r="BI61" s="139">
        <f>SUM(BI62:BI63)</f>
        <v>0</v>
      </c>
      <c r="BJ61" s="139">
        <f t="shared" ref="BJ61:BT61" si="68">SUM(BJ62:BJ63)</f>
        <v>0</v>
      </c>
      <c r="BK61" s="139">
        <f t="shared" si="68"/>
        <v>0</v>
      </c>
      <c r="BL61" s="139">
        <f t="shared" si="68"/>
        <v>0</v>
      </c>
      <c r="BM61" s="139">
        <f t="shared" si="68"/>
        <v>0</v>
      </c>
      <c r="BN61" s="139">
        <f t="shared" si="68"/>
        <v>0</v>
      </c>
      <c r="BO61" s="139">
        <f>SUM(BO62:BO63)</f>
        <v>0</v>
      </c>
      <c r="BP61" s="139">
        <f t="shared" si="68"/>
        <v>0</v>
      </c>
      <c r="BQ61" s="139">
        <f>SUM(BQ62:BQ63)</f>
        <v>0</v>
      </c>
      <c r="BR61" s="139">
        <f t="shared" si="68"/>
        <v>150</v>
      </c>
      <c r="BS61" s="139">
        <f>SUM(BS62:BS63)</f>
        <v>2827104</v>
      </c>
      <c r="BT61" s="139">
        <f t="shared" si="68"/>
        <v>0</v>
      </c>
      <c r="BU61" s="139">
        <f>SUM(BU62:BU63)</f>
        <v>0</v>
      </c>
      <c r="BV61" s="139">
        <f t="shared" ref="BV61:CQ61" si="69">SUM(BV62:BV63)</f>
        <v>262</v>
      </c>
      <c r="BW61" s="139">
        <f t="shared" si="69"/>
        <v>5878542.2079999996</v>
      </c>
      <c r="BX61" s="139">
        <f t="shared" si="69"/>
        <v>35</v>
      </c>
      <c r="BY61" s="139">
        <f t="shared" si="69"/>
        <v>785301.44</v>
      </c>
      <c r="BZ61" s="139">
        <f t="shared" si="69"/>
        <v>72</v>
      </c>
      <c r="CA61" s="139">
        <f t="shared" si="69"/>
        <v>1615477.2479999999</v>
      </c>
      <c r="CB61" s="139">
        <f t="shared" si="69"/>
        <v>116</v>
      </c>
      <c r="CC61" s="139">
        <f t="shared" si="69"/>
        <v>846504.85999999952</v>
      </c>
      <c r="CD61" s="139">
        <f t="shared" si="69"/>
        <v>10</v>
      </c>
      <c r="CE61" s="139">
        <f t="shared" si="69"/>
        <v>224371.84000000003</v>
      </c>
      <c r="CF61" s="139">
        <f t="shared" si="69"/>
        <v>140</v>
      </c>
      <c r="CG61" s="139">
        <f t="shared" si="69"/>
        <v>4169576.6933333329</v>
      </c>
      <c r="CH61" s="139">
        <f t="shared" si="69"/>
        <v>70</v>
      </c>
      <c r="CI61" s="139">
        <f t="shared" si="69"/>
        <v>2402648.4533333331</v>
      </c>
      <c r="CJ61" s="139">
        <f t="shared" si="69"/>
        <v>0</v>
      </c>
      <c r="CK61" s="139">
        <f t="shared" si="69"/>
        <v>0</v>
      </c>
      <c r="CL61" s="139">
        <f t="shared" si="69"/>
        <v>0</v>
      </c>
      <c r="CM61" s="139">
        <f t="shared" si="69"/>
        <v>0</v>
      </c>
      <c r="CN61" s="139">
        <f t="shared" si="69"/>
        <v>0</v>
      </c>
      <c r="CO61" s="139">
        <f t="shared" si="69"/>
        <v>0</v>
      </c>
      <c r="CP61" s="139">
        <f t="shared" si="69"/>
        <v>2191</v>
      </c>
      <c r="CQ61" s="139">
        <f t="shared" si="69"/>
        <v>45677088.495333336</v>
      </c>
    </row>
    <row r="62" spans="1:95" s="3" customFormat="1" ht="30" hidden="1" customHeight="1" x14ac:dyDescent="0.25">
      <c r="A62" s="54"/>
      <c r="B62" s="54">
        <v>40</v>
      </c>
      <c r="C62" s="55" t="s">
        <v>201</v>
      </c>
      <c r="D62" s="109" t="s">
        <v>202</v>
      </c>
      <c r="E62" s="110">
        <v>16026</v>
      </c>
      <c r="F62" s="110">
        <v>16828</v>
      </c>
      <c r="G62" s="33">
        <v>0.8</v>
      </c>
      <c r="H62" s="34"/>
      <c r="I62" s="35">
        <v>1</v>
      </c>
      <c r="J62" s="118">
        <v>1</v>
      </c>
      <c r="K62" s="111"/>
      <c r="L62" s="97">
        <v>1.4</v>
      </c>
      <c r="M62" s="97">
        <v>1.68</v>
      </c>
      <c r="N62" s="97">
        <v>2.23</v>
      </c>
      <c r="O62" s="97">
        <v>2.57</v>
      </c>
      <c r="P62" s="36">
        <v>30</v>
      </c>
      <c r="Q62" s="36">
        <f>SUM(P62/12*2*$E62*$G62*$I62*$L62*$Q$9)+(P62/12*10*$F62*$G62*$J62*$L62*$Q$9)</f>
        <v>560929.6</v>
      </c>
      <c r="R62" s="37"/>
      <c r="S62" s="36">
        <f>SUM(R62/12*2*$E62*$G62*$I62*$L62*S$9)+(R62/12*10*$F62*$G62*$J62*$L62*S$9)</f>
        <v>0</v>
      </c>
      <c r="T62" s="36"/>
      <c r="U62" s="36">
        <f>SUM(T62/12*2*$E62*$G62*$I62*$L62*U$9)+(T62/12*10*$F62*$G62*$J62*$L62*U$9)</f>
        <v>0</v>
      </c>
      <c r="V62" s="37"/>
      <c r="W62" s="36">
        <f>SUM(V62/12*2*$E62*$G62*$I62*$L62*$W$9)+(V62/12*10*$F62*$G62*$J62*$L62*$W$9)</f>
        <v>0</v>
      </c>
      <c r="X62" s="37"/>
      <c r="Y62" s="38">
        <f>SUM(X62/12*2*$E62*$G62*$I62*$L62*Y$9)+(X62/12*10*$F62*$G62*$J62*$L62*Y$9)</f>
        <v>0</v>
      </c>
      <c r="Z62" s="37"/>
      <c r="AA62" s="36"/>
      <c r="AB62" s="36"/>
      <c r="AC62" s="36">
        <f>(AB62/12*2*$E62*$G62*$I62*$L62)+(AB62/12*10*$F62*$G62*$J62*$L62)</f>
        <v>0</v>
      </c>
      <c r="AD62" s="39">
        <v>29</v>
      </c>
      <c r="AE62" s="36">
        <f>(AD62/12*2*$E62*$G62*$I62*$L62*AE$9)+(AD62/12*10*$F62*$G62*$J62*$L62*AE$9)</f>
        <v>542231.94666666666</v>
      </c>
      <c r="AF62" s="37">
        <v>0</v>
      </c>
      <c r="AG62" s="36">
        <f>(AF62/12*2*$E62*$G62*$I62*$M62*AG$9)+(AF62/12*10*$F62*$G62*$J62*$M62*AG$9)</f>
        <v>0</v>
      </c>
      <c r="AH62" s="58">
        <f>164-95</f>
        <v>69</v>
      </c>
      <c r="AI62" s="36">
        <f>(AH62/12*2*$E62*$G62*$I62*$M62*$AI$9)+(AH62/12*10*$F62*$G62*$J62*$M62*$AI$9)</f>
        <v>1548165.6959999998</v>
      </c>
      <c r="AJ62" s="36">
        <v>95</v>
      </c>
      <c r="AK62" s="36">
        <v>2112503.6900000027</v>
      </c>
      <c r="AL62" s="36">
        <v>68</v>
      </c>
      <c r="AM62" s="36">
        <f>SUM(AL62/12*2*$E62*$G62*$I62*$L62*AM$9)+(AL62/12*10*$F62*$G62*$J62*$L62*AM$9)</f>
        <v>1271440.4266666668</v>
      </c>
      <c r="AN62" s="37"/>
      <c r="AO62" s="36">
        <f>SUM(AN62/12*2*$E62*$G62*$I62*$L62*$AE$9)+(AN62/12*10*$F62*$G62*$J62*$L62*$AE$9)</f>
        <v>0</v>
      </c>
      <c r="AP62" s="37"/>
      <c r="AQ62" s="36"/>
      <c r="AR62" s="37"/>
      <c r="AS62" s="36">
        <f>SUM(AR62/12*2*$E62*$G62*$I62*$L62*AS$9)+(AR62/12*10*$F62*$G62*$J62*$L62*AS$9)</f>
        <v>0</v>
      </c>
      <c r="AT62" s="37"/>
      <c r="AU62" s="36">
        <f>SUM(AT62/12*2*$E62*$G62*$I62*$L62*$AI$9)+(AT62/12*10*$F62*$G62*$J62*$L62*$AI$9)</f>
        <v>0</v>
      </c>
      <c r="AV62" s="36">
        <v>16</v>
      </c>
      <c r="AW62" s="36">
        <f>SUM(AV62/12*2*$E62*$G62*$I62*$L62*AW$9)+(AV62/12*10*$F62*$G62*$J62*$L62*AW$9)</f>
        <v>299162.45333333331</v>
      </c>
      <c r="AX62" s="36">
        <v>305</v>
      </c>
      <c r="AY62" s="36">
        <f>SUM(AX62/12*2*$E62*$G62*$I62*$L62*AY$9)+(AX62/12*10*$F62*$G62*$J62*$L62*AY$9)</f>
        <v>5702784.2666666666</v>
      </c>
      <c r="AZ62" s="36">
        <v>44</v>
      </c>
      <c r="BA62" s="36">
        <f>SUM(AZ62/12*2*$E62*$G62*$I62*$L62*BA$9)+(AZ62/12*10*$F62*$G62*$J62*$L62*BA$9)</f>
        <v>822696.74666666659</v>
      </c>
      <c r="BB62" s="36"/>
      <c r="BC62" s="36">
        <f>SUM(BB62/12*2*$E62*$G62*$I62*$L62*BC$9)+(BB62/12*10*$F62*$G62*$J62*$L62*BC$9)</f>
        <v>0</v>
      </c>
      <c r="BD62" s="36">
        <v>470</v>
      </c>
      <c r="BE62" s="36">
        <f>SUM(BD62/12*2*$E62*$G62*$I62*$L62*BE$9)+(BD62/12*10*$F62*$G62*$J62*$L62*BE$9)</f>
        <v>8787897.0666666664</v>
      </c>
      <c r="BF62" s="58">
        <v>200</v>
      </c>
      <c r="BG62" s="39">
        <f>(BF62/12*2*$E62*$G62*$I62*$M62*BG$9)+(BF62/12*10*$F62*$G62*$J62*$M62*BG$9)</f>
        <v>4487436.8</v>
      </c>
      <c r="BH62" s="60"/>
      <c r="BI62" s="36">
        <f>(BH62/12*2*$E62*$G62*$I62*$M62*BI$9)+(BH62/12*10*$F62*$G62*$J62*$M62*BI$9)</f>
        <v>0</v>
      </c>
      <c r="BJ62" s="40"/>
      <c r="BK62" s="36">
        <f>(BJ62/12*2*$E62*$G62*$I62*$M62*BK$9)+(BJ62/12*10*$F62*$G62*$J62*$M62*BK$9)</f>
        <v>0</v>
      </c>
      <c r="BL62" s="37"/>
      <c r="BM62" s="36">
        <f>(BL62/12*2*$E62*$G62*$I62*$M62*BM$9)+(BL62/12*10*$F62*$G62*$J62*$M62*BM$9)</f>
        <v>0</v>
      </c>
      <c r="BN62" s="36"/>
      <c r="BO62" s="36">
        <f>(BN62/12*10*$F62*$G62*$J62*$M62*BO$9)</f>
        <v>0</v>
      </c>
      <c r="BP62" s="59"/>
      <c r="BQ62" s="36"/>
      <c r="BR62" s="58">
        <v>150</v>
      </c>
      <c r="BS62" s="36">
        <f>(BR62/12*10*$F62*$G62*$J62*$M62*BS$9)</f>
        <v>2827104</v>
      </c>
      <c r="BT62" s="37"/>
      <c r="BU62" s="36"/>
      <c r="BV62" s="36">
        <v>262</v>
      </c>
      <c r="BW62" s="36">
        <f>(BV62/12*2*$E62*$G62*$I62*$M62*BW$9)+(BV62/12*10*$F62*$G62*$J62*$M62*BW$9)</f>
        <v>5878542.2079999996</v>
      </c>
      <c r="BX62" s="69">
        <f>5+30</f>
        <v>35</v>
      </c>
      <c r="BY62" s="36">
        <f>(BX62/12*2*$E62*$G62*$I62*$M62*BY$9)+(BX62/12*10*$F62*$G62*$J62*$M62*BY$9)</f>
        <v>785301.44</v>
      </c>
      <c r="BZ62" s="58">
        <v>72</v>
      </c>
      <c r="CA62" s="36">
        <f>(BZ62/12*2*$E62*$G62*$I62*$M62*CA$9)+(BZ62/12*10*$F62*$G62*$J62*$M62*CA$9)</f>
        <v>1615477.2479999999</v>
      </c>
      <c r="CB62" s="36">
        <v>116</v>
      </c>
      <c r="CC62" s="36">
        <v>846504.85999999952</v>
      </c>
      <c r="CD62" s="36">
        <v>10</v>
      </c>
      <c r="CE62" s="36">
        <f>(CD62/12*2*$E62*$G62*$I62*$M62*CE$9)+(CD62/12*10*$F62*$G62*$J62*$M62*CE$9)</f>
        <v>224371.84000000003</v>
      </c>
      <c r="CF62" s="58">
        <v>140</v>
      </c>
      <c r="CG62" s="36">
        <f>(CF62/12*2*$E62*$G62*$I62*$N62*CG$9)+(CF62/12*10*$F62*$G62*$J62*$N62*CG$9)</f>
        <v>4169576.6933333329</v>
      </c>
      <c r="CH62" s="58">
        <v>70</v>
      </c>
      <c r="CI62" s="36">
        <f>(CH62/12*2*$E62*$G62*$I62*$O62*$CI$9)+(CH62/12*10*$F62*$G62*$J62*$O62*$CI$9)</f>
        <v>2402648.4533333331</v>
      </c>
      <c r="CJ62" s="36"/>
      <c r="CK62" s="36"/>
      <c r="CL62" s="36"/>
      <c r="CM62" s="36"/>
      <c r="CN62" s="41"/>
      <c r="CO62" s="41"/>
      <c r="CP62" s="42">
        <f t="shared" ref="CP62:CQ63" si="70">SUM(R62+P62+T62+V62+AB62+Z62+X62+AF62+AD62+AH62+AJ62+BF62+BJ62+AL62+AT62+AV62+BT62+BV62+BR62+BX62+BZ62+BN62+AN62+AP62+AR62+BH62+BL62+AX62+AZ62+BB62+BD62+BP62+CB62+CD62+CF62+CH62+CJ62+CL62)</f>
        <v>2181</v>
      </c>
      <c r="CQ62" s="42">
        <f t="shared" si="70"/>
        <v>44884775.435333334</v>
      </c>
    </row>
    <row r="63" spans="1:95" s="3" customFormat="1" ht="30" hidden="1" customHeight="1" x14ac:dyDescent="0.25">
      <c r="A63" s="54"/>
      <c r="B63" s="54">
        <v>41</v>
      </c>
      <c r="C63" s="55" t="s">
        <v>203</v>
      </c>
      <c r="D63" s="109" t="s">
        <v>204</v>
      </c>
      <c r="E63" s="110">
        <v>16026</v>
      </c>
      <c r="F63" s="110">
        <v>16828</v>
      </c>
      <c r="G63" s="33">
        <v>3.39</v>
      </c>
      <c r="H63" s="34"/>
      <c r="I63" s="35">
        <v>1</v>
      </c>
      <c r="J63" s="111"/>
      <c r="K63" s="35"/>
      <c r="L63" s="97">
        <v>1.4</v>
      </c>
      <c r="M63" s="97">
        <v>1.68</v>
      </c>
      <c r="N63" s="97">
        <v>2.23</v>
      </c>
      <c r="O63" s="97">
        <v>2.57</v>
      </c>
      <c r="P63" s="79">
        <v>10</v>
      </c>
      <c r="Q63" s="36">
        <f>SUM(P63/12*2*$E63*$G63*$I63*$L63*$Q$9)+(P63/12*10*$F63*$G63*$I63*$L63*$Q$9)</f>
        <v>792313.06</v>
      </c>
      <c r="R63" s="78"/>
      <c r="S63" s="36">
        <f>SUM(R63/12*2*$E63*$G63*$I63*$L63*S$9)+(R63/12*10*$F63*$G63*$I63*$L63*S$9)</f>
        <v>0</v>
      </c>
      <c r="T63" s="79"/>
      <c r="U63" s="36">
        <f>SUM(T63/12*2*$E63*$G63*$I63*$L63*U$9)+(T63/12*10*$F63*$G63*$I63*$L63*U$9)</f>
        <v>0</v>
      </c>
      <c r="V63" s="78"/>
      <c r="W63" s="36">
        <f>SUM(V63/12*2*$E63*$G63*$I63*$L63*$W$9)+(V63/12*10*$F63*$G63*$I63*$L63*$W$9)</f>
        <v>0</v>
      </c>
      <c r="X63" s="78"/>
      <c r="Y63" s="38">
        <f>SUM(X63/12*2*$E63*$G63*$I63*$L63*Y$9)+(X63/12*10*$F63*$G63*$I63*$L63*Y$9)</f>
        <v>0</v>
      </c>
      <c r="Z63" s="37"/>
      <c r="AA63" s="36"/>
      <c r="AB63" s="78"/>
      <c r="AC63" s="36">
        <f>(AB63/12*2*$E63*$G63*$I63*$L63)+(AB63/12*10*$F63*$G63*$I63*$L63)</f>
        <v>0</v>
      </c>
      <c r="AD63" s="78"/>
      <c r="AE63" s="36">
        <f>(AD63/12*2*$E63*$G63*$I63*$L63*AE$9)+(AD63/12*10*$F63*$G63*$I63*$L63*AE$9)</f>
        <v>0</v>
      </c>
      <c r="AF63" s="78"/>
      <c r="AG63" s="36">
        <f>(AF63/12*2*$E63*$G63*$I63*$M63*AG$9)+(AF63/12*10*$F63*$G63*$I63*$M63*AG$9)</f>
        <v>0</v>
      </c>
      <c r="AH63" s="78"/>
      <c r="AI63" s="36">
        <f>(AH63/12*2*$E63*$G63*$I63*$M63*$AI$9)+(AH63/12*10*$F63*$G63*$I63*$M63*$AI$9)</f>
        <v>0</v>
      </c>
      <c r="AJ63" s="36">
        <v>0</v>
      </c>
      <c r="AK63" s="36">
        <v>0</v>
      </c>
      <c r="AL63" s="78"/>
      <c r="AM63" s="36">
        <f>SUM(AL63/12*2*$E63*$G63*$I63*$L63*AM$9)+(AL63/12*10*$F63*$G63*$I63*$L63*AM$9)</f>
        <v>0</v>
      </c>
      <c r="AN63" s="78"/>
      <c r="AO63" s="36">
        <f>SUM(AN63/12*2*$E63*$G63*$I63*$L63*$AE$9)+(AN63/12*10*$F63*$G63*$I63*$L63*$AE$9)</f>
        <v>0</v>
      </c>
      <c r="AP63" s="78"/>
      <c r="AQ63" s="36"/>
      <c r="AR63" s="37"/>
      <c r="AS63" s="36">
        <f>SUM(AR63/12*2*$E63*$G63*$I63*$L63*AS$9)+(AR63/12*10*$F63*$G63*$I63*$L63*AS$9)</f>
        <v>0</v>
      </c>
      <c r="AT63" s="78"/>
      <c r="AU63" s="36">
        <f>SUM(AT63/12*2*$E63*$G63*$I63*$L63*$AI$9)+(AT63/12*10*$F63*$G63*$I63*$L63*$AI$9)</f>
        <v>0</v>
      </c>
      <c r="AV63" s="78"/>
      <c r="AW63" s="36">
        <f>SUM(AV63/12*2*$E63*$G63*$I63*$L63*AW$9)+(AV63/12*10*$F63*$G63*$I63*$L63*AW$9)</f>
        <v>0</v>
      </c>
      <c r="AX63" s="78"/>
      <c r="AY63" s="36">
        <f>SUM(AX63/12*2*$E63*$G63*$I63*$L63*AY$9)+(AX63/12*10*$F63*$G63*$I63*$L63*AY$9)</f>
        <v>0</v>
      </c>
      <c r="AZ63" s="79"/>
      <c r="BA63" s="36">
        <f>SUM(AZ63/12*2*$E63*$G63*$I63*$L63*BA$9)+(AZ63/12*10*$F63*$G63*$I63*$L63*BA$9)</f>
        <v>0</v>
      </c>
      <c r="BB63" s="78"/>
      <c r="BC63" s="36">
        <f>SUM(BB63/12*2*$E63*$G63*$I63*$L63*BC$9)+(BB63/12*10*$F63*$G63*$I63*$L63*BC$9)</f>
        <v>0</v>
      </c>
      <c r="BD63" s="78"/>
      <c r="BE63" s="36">
        <f>SUM(BD63/12*2*$E63*$G63*$I63*$L63*BE$9)+(BD63/12*10*$F63*$G63*$I63*$L63*BE$9)</f>
        <v>0</v>
      </c>
      <c r="BF63" s="119"/>
      <c r="BG63" s="39">
        <f>(BF63/12*2*$E63*$G63*$I63*$M63*BG$9)+(BF63/12*10*$F63*$G63*$I63*$M63*BG$9)</f>
        <v>0</v>
      </c>
      <c r="BH63" s="60"/>
      <c r="BI63" s="36">
        <f>(BH63/12*2*$E63*$G63*$I63*$M63*BI$9)+(BH63/12*10*$F63*$G63*$I63*$M63*BI$9)</f>
        <v>0</v>
      </c>
      <c r="BJ63" s="78"/>
      <c r="BK63" s="36">
        <f>(BJ63/12*2*$E63*$G63*$I63*$M63*BK$9)+(BJ63/12*10*$F63*$G63*$I63*$M63*BK$9)</f>
        <v>0</v>
      </c>
      <c r="BL63" s="79"/>
      <c r="BM63" s="36">
        <f>(BL63/12*2*$E63*$G63*$I63*$M63*BM$9)+(BL63/12*10*$F63*$G63*$I63*$M63*BM$9)</f>
        <v>0</v>
      </c>
      <c r="BN63" s="78"/>
      <c r="BO63" s="36">
        <f>(BN63/12*10*$F63*$G63*$I63*$M63*BO$9)</f>
        <v>0</v>
      </c>
      <c r="BP63" s="80"/>
      <c r="BQ63" s="36"/>
      <c r="BR63" s="78"/>
      <c r="BS63" s="36">
        <f>(BR63/12*10*$F63*$G63*$I63*$M63*BS$9)</f>
        <v>0</v>
      </c>
      <c r="BT63" s="78"/>
      <c r="BU63" s="36">
        <f>(BT63/12*2*$E63*$G63*$I63*$M63*BU$9)+(BT63/12*10*$F63*$G63*$I63*$M63*BU$9)</f>
        <v>0</v>
      </c>
      <c r="BV63" s="79"/>
      <c r="BW63" s="36">
        <f>(BV63/12*2*$E63*$G63*$I63*$M63*BW$9)+(BV63/12*10*$F63*$G63*$I63*$M63*BW$9)</f>
        <v>0</v>
      </c>
      <c r="BX63" s="78"/>
      <c r="BY63" s="36">
        <f>(BX63/12*2*$E63*$G63*$I63*$M63*BY$9)+(BX63/12*10*$F63*$G63*$I63*$M63*BY$9)</f>
        <v>0</v>
      </c>
      <c r="BZ63" s="78"/>
      <c r="CA63" s="36">
        <f>(BZ63/12*2*$E63*$G63*$I63*$M63*CA$9)+(BZ63/12*10*$F63*$G63*$I63*$M63*CA$9)</f>
        <v>0</v>
      </c>
      <c r="CB63" s="78"/>
      <c r="CC63" s="36">
        <f>(CB63/12*2*$E63*$G63*$I63*$M63*CC$9)+(CB63/12*10*$F63*$G63*$I63*$M63*CC$9)</f>
        <v>0</v>
      </c>
      <c r="CD63" s="78"/>
      <c r="CE63" s="36">
        <f>(CD63/12*2*$E63*$G63*$I63*$M63*CE$9)+(CD63/12*10*$F63*$G63*$I63*$M63*CE$9)</f>
        <v>0</v>
      </c>
      <c r="CF63" s="78"/>
      <c r="CG63" s="36">
        <f>(CF63/12*2*$E63*$G63*$I63*$N63*CG$9)+(CF63/12*10*$F63*$G63*$I63*$N63*CG$9)</f>
        <v>0</v>
      </c>
      <c r="CH63" s="79"/>
      <c r="CI63" s="36">
        <f>(CH63/12*2*$E63*$G63*$I63*$O63*$CI$9)+(CH63/12*10*$F63*$G63*$I63*$O63*$CI$9)</f>
        <v>0</v>
      </c>
      <c r="CJ63" s="36"/>
      <c r="CK63" s="36"/>
      <c r="CL63" s="36"/>
      <c r="CM63" s="36"/>
      <c r="CN63" s="41"/>
      <c r="CO63" s="41"/>
      <c r="CP63" s="42">
        <f t="shared" si="70"/>
        <v>10</v>
      </c>
      <c r="CQ63" s="42">
        <f t="shared" si="70"/>
        <v>792313.06</v>
      </c>
    </row>
    <row r="64" spans="1:95" ht="18.75" hidden="1" customHeight="1" x14ac:dyDescent="0.25">
      <c r="A64" s="124">
        <v>14</v>
      </c>
      <c r="B64" s="124"/>
      <c r="C64" s="125" t="s">
        <v>205</v>
      </c>
      <c r="D64" s="126" t="s">
        <v>206</v>
      </c>
      <c r="E64" s="110">
        <v>16026</v>
      </c>
      <c r="F64" s="134">
        <v>16828</v>
      </c>
      <c r="G64" s="138">
        <v>1.7</v>
      </c>
      <c r="H64" s="136"/>
      <c r="I64" s="128"/>
      <c r="J64" s="129"/>
      <c r="K64" s="29"/>
      <c r="L64" s="97">
        <v>1.4</v>
      </c>
      <c r="M64" s="97">
        <v>1.68</v>
      </c>
      <c r="N64" s="97">
        <v>2.23</v>
      </c>
      <c r="O64" s="97">
        <v>2.57</v>
      </c>
      <c r="P64" s="139">
        <f>SUM(P65:P66)</f>
        <v>3</v>
      </c>
      <c r="Q64" s="139">
        <f t="shared" ref="Q64:BH64" si="71">SUM(Q65:Q66)</f>
        <v>146201.18799999999</v>
      </c>
      <c r="R64" s="139">
        <f t="shared" si="71"/>
        <v>0</v>
      </c>
      <c r="S64" s="139">
        <f t="shared" si="71"/>
        <v>0</v>
      </c>
      <c r="T64" s="139">
        <f t="shared" si="71"/>
        <v>0</v>
      </c>
      <c r="U64" s="139">
        <f t="shared" si="71"/>
        <v>0</v>
      </c>
      <c r="V64" s="139">
        <f t="shared" si="71"/>
        <v>0</v>
      </c>
      <c r="W64" s="139">
        <f t="shared" si="71"/>
        <v>0</v>
      </c>
      <c r="X64" s="139">
        <f t="shared" si="71"/>
        <v>0</v>
      </c>
      <c r="Y64" s="139">
        <f t="shared" si="71"/>
        <v>0</v>
      </c>
      <c r="Z64" s="139">
        <f t="shared" si="71"/>
        <v>0</v>
      </c>
      <c r="AA64" s="139">
        <f t="shared" si="71"/>
        <v>0</v>
      </c>
      <c r="AB64" s="139">
        <f t="shared" si="71"/>
        <v>0</v>
      </c>
      <c r="AC64" s="139">
        <f t="shared" si="71"/>
        <v>0</v>
      </c>
      <c r="AD64" s="139">
        <f t="shared" si="71"/>
        <v>2</v>
      </c>
      <c r="AE64" s="139">
        <f t="shared" si="71"/>
        <v>71518.52399999999</v>
      </c>
      <c r="AF64" s="139">
        <f t="shared" si="71"/>
        <v>0</v>
      </c>
      <c r="AG64" s="139">
        <f t="shared" si="71"/>
        <v>0</v>
      </c>
      <c r="AH64" s="139">
        <f>SUM(AH65:AH66)</f>
        <v>0</v>
      </c>
      <c r="AI64" s="139">
        <f t="shared" si="71"/>
        <v>0</v>
      </c>
      <c r="AJ64" s="139">
        <v>0</v>
      </c>
      <c r="AK64" s="139">
        <v>0</v>
      </c>
      <c r="AL64" s="139">
        <f t="shared" si="71"/>
        <v>0</v>
      </c>
      <c r="AM64" s="139">
        <f t="shared" si="71"/>
        <v>0</v>
      </c>
      <c r="AN64" s="139">
        <f t="shared" si="71"/>
        <v>0</v>
      </c>
      <c r="AO64" s="139">
        <f t="shared" si="71"/>
        <v>0</v>
      </c>
      <c r="AP64" s="139">
        <f t="shared" si="71"/>
        <v>0</v>
      </c>
      <c r="AQ64" s="139">
        <f t="shared" si="71"/>
        <v>0</v>
      </c>
      <c r="AR64" s="139">
        <f t="shared" si="71"/>
        <v>0</v>
      </c>
      <c r="AS64" s="139">
        <f t="shared" si="71"/>
        <v>0</v>
      </c>
      <c r="AT64" s="139">
        <f t="shared" si="71"/>
        <v>0</v>
      </c>
      <c r="AU64" s="139">
        <f t="shared" si="71"/>
        <v>0</v>
      </c>
      <c r="AV64" s="139">
        <f t="shared" si="71"/>
        <v>0</v>
      </c>
      <c r="AW64" s="139">
        <f t="shared" si="71"/>
        <v>0</v>
      </c>
      <c r="AX64" s="139">
        <f t="shared" si="71"/>
        <v>0</v>
      </c>
      <c r="AY64" s="139">
        <f t="shared" si="71"/>
        <v>0</v>
      </c>
      <c r="AZ64" s="139">
        <f t="shared" si="71"/>
        <v>0</v>
      </c>
      <c r="BA64" s="139">
        <f>SUM(BA65:BA66)</f>
        <v>0</v>
      </c>
      <c r="BB64" s="139">
        <f t="shared" si="71"/>
        <v>0</v>
      </c>
      <c r="BC64" s="139">
        <f>SUM(BC65:BC66)</f>
        <v>0</v>
      </c>
      <c r="BD64" s="139">
        <f t="shared" si="71"/>
        <v>0</v>
      </c>
      <c r="BE64" s="139">
        <f t="shared" si="71"/>
        <v>0</v>
      </c>
      <c r="BF64" s="139">
        <f t="shared" si="71"/>
        <v>0</v>
      </c>
      <c r="BG64" s="139">
        <f t="shared" si="71"/>
        <v>0</v>
      </c>
      <c r="BH64" s="139">
        <f t="shared" si="71"/>
        <v>0</v>
      </c>
      <c r="BI64" s="139">
        <f>SUM(BI65:BI66)</f>
        <v>0</v>
      </c>
      <c r="BJ64" s="139">
        <f t="shared" ref="BJ64:BT64" si="72">SUM(BJ65:BJ66)</f>
        <v>0</v>
      </c>
      <c r="BK64" s="139">
        <f t="shared" si="72"/>
        <v>0</v>
      </c>
      <c r="BL64" s="139">
        <f t="shared" si="72"/>
        <v>0</v>
      </c>
      <c r="BM64" s="139">
        <f t="shared" si="72"/>
        <v>0</v>
      </c>
      <c r="BN64" s="139">
        <f t="shared" si="72"/>
        <v>0</v>
      </c>
      <c r="BO64" s="139">
        <f>SUM(BO65:BO66)</f>
        <v>0</v>
      </c>
      <c r="BP64" s="139">
        <f t="shared" si="72"/>
        <v>0</v>
      </c>
      <c r="BQ64" s="139">
        <f>SUM(BQ65:BQ66)</f>
        <v>0</v>
      </c>
      <c r="BR64" s="139">
        <f t="shared" si="72"/>
        <v>15</v>
      </c>
      <c r="BS64" s="139">
        <f>SUM(BS65:BS66)</f>
        <v>540683.64</v>
      </c>
      <c r="BT64" s="139">
        <f t="shared" si="72"/>
        <v>0</v>
      </c>
      <c r="BU64" s="139">
        <f>SUM(BU65:BU66)</f>
        <v>0</v>
      </c>
      <c r="BV64" s="139">
        <f t="shared" ref="BV64:CQ64" si="73">SUM(BV65:BV66)</f>
        <v>0</v>
      </c>
      <c r="BW64" s="139">
        <f t="shared" si="73"/>
        <v>0</v>
      </c>
      <c r="BX64" s="139">
        <f t="shared" si="73"/>
        <v>0</v>
      </c>
      <c r="BY64" s="139">
        <f t="shared" si="73"/>
        <v>0</v>
      </c>
      <c r="BZ64" s="139">
        <f t="shared" si="73"/>
        <v>0</v>
      </c>
      <c r="CA64" s="139">
        <f t="shared" si="73"/>
        <v>0</v>
      </c>
      <c r="CB64" s="139">
        <f t="shared" si="73"/>
        <v>0</v>
      </c>
      <c r="CC64" s="139">
        <f t="shared" si="73"/>
        <v>0</v>
      </c>
      <c r="CD64" s="139">
        <f t="shared" si="73"/>
        <v>0</v>
      </c>
      <c r="CE64" s="139">
        <f t="shared" si="73"/>
        <v>0</v>
      </c>
      <c r="CF64" s="139">
        <f t="shared" si="73"/>
        <v>0</v>
      </c>
      <c r="CG64" s="139">
        <f t="shared" si="73"/>
        <v>0</v>
      </c>
      <c r="CH64" s="139">
        <f t="shared" si="73"/>
        <v>0</v>
      </c>
      <c r="CI64" s="139">
        <f t="shared" si="73"/>
        <v>0</v>
      </c>
      <c r="CJ64" s="139">
        <f t="shared" si="73"/>
        <v>90</v>
      </c>
      <c r="CK64" s="139">
        <f t="shared" si="73"/>
        <v>8001660.7439999999</v>
      </c>
      <c r="CL64" s="139">
        <f t="shared" si="73"/>
        <v>0</v>
      </c>
      <c r="CM64" s="139">
        <f t="shared" si="73"/>
        <v>0</v>
      </c>
      <c r="CN64" s="139">
        <f t="shared" si="73"/>
        <v>0</v>
      </c>
      <c r="CO64" s="139">
        <f t="shared" si="73"/>
        <v>0</v>
      </c>
      <c r="CP64" s="139">
        <f t="shared" si="73"/>
        <v>110</v>
      </c>
      <c r="CQ64" s="139">
        <f t="shared" si="73"/>
        <v>8760064.095999999</v>
      </c>
    </row>
    <row r="65" spans="1:95" s="3" customFormat="1" ht="30" hidden="1" customHeight="1" x14ac:dyDescent="0.25">
      <c r="A65" s="54"/>
      <c r="B65" s="54">
        <v>42</v>
      </c>
      <c r="C65" s="55" t="s">
        <v>207</v>
      </c>
      <c r="D65" s="109" t="s">
        <v>208</v>
      </c>
      <c r="E65" s="110">
        <v>16026</v>
      </c>
      <c r="F65" s="110">
        <v>16828</v>
      </c>
      <c r="G65" s="33">
        <v>1.53</v>
      </c>
      <c r="H65" s="34"/>
      <c r="I65" s="35">
        <v>1</v>
      </c>
      <c r="J65" s="111"/>
      <c r="K65" s="35"/>
      <c r="L65" s="97">
        <v>1.4</v>
      </c>
      <c r="M65" s="97">
        <v>1.68</v>
      </c>
      <c r="N65" s="97">
        <v>2.23</v>
      </c>
      <c r="O65" s="97">
        <v>2.57</v>
      </c>
      <c r="P65" s="36">
        <v>2</v>
      </c>
      <c r="Q65" s="36">
        <f>SUM(P65/12*2*$E65*$G65*$I65*$L65*$Q$9)+(P65/12*10*$F65*$G65*$I65*$L65*$Q$9)</f>
        <v>71518.52399999999</v>
      </c>
      <c r="R65" s="37">
        <v>0</v>
      </c>
      <c r="S65" s="36">
        <f>SUM(R65/12*2*$E65*$G65*$I65*$L65*S$9)+(R65/12*10*$F65*$G65*$I65*$L65*S$9)</f>
        <v>0</v>
      </c>
      <c r="T65" s="36">
        <v>0</v>
      </c>
      <c r="U65" s="36">
        <f>SUM(T65/12*2*$E65*$G65*$I65*$L65*U$9)+(T65/12*10*$F65*$G65*$I65*$L65*U$9)</f>
        <v>0</v>
      </c>
      <c r="V65" s="37">
        <v>0</v>
      </c>
      <c r="W65" s="36">
        <f>SUM(V65/12*2*$E65*$G65*$I65*$L65*$W$9)+(V65/12*10*$F65*$G65*$I65*$L65*$W$9)</f>
        <v>0</v>
      </c>
      <c r="X65" s="37">
        <v>0</v>
      </c>
      <c r="Y65" s="38">
        <f>SUM(X65/12*2*$E65*$G65*$I65*$L65*Y$9)+(X65/12*10*$F65*$G65*$I65*$L65*Y$9)</f>
        <v>0</v>
      </c>
      <c r="Z65" s="37"/>
      <c r="AA65" s="36"/>
      <c r="AB65" s="37"/>
      <c r="AC65" s="36">
        <f>(AB65/12*2*$E65*$G65*$I65*$L65)+(AB65/12*10*$F65*$G65*$I65*$L65)</f>
        <v>0</v>
      </c>
      <c r="AD65" s="39">
        <v>2</v>
      </c>
      <c r="AE65" s="36">
        <f>(AD65/12*2*$E65*$G65*$I65*$L65*AE$9)+(AD65/12*10*$F65*$G65*$I65*$L65*AE$9)</f>
        <v>71518.52399999999</v>
      </c>
      <c r="AF65" s="37">
        <v>0</v>
      </c>
      <c r="AG65" s="36">
        <f>(AF65/12*2*$E65*$G65*$I65*$M65*AG$9)+(AF65/12*10*$F65*$G65*$I65*$M65*AG$9)</f>
        <v>0</v>
      </c>
      <c r="AH65" s="37">
        <v>0</v>
      </c>
      <c r="AI65" s="36">
        <f>(AH65/12*2*$E65*$G65*$I65*$M65*$AI$9)+(AH65/12*10*$F65*$G65*$I65*$M65*$AI$9)</f>
        <v>0</v>
      </c>
      <c r="AJ65" s="36">
        <v>0</v>
      </c>
      <c r="AK65" s="36">
        <v>0</v>
      </c>
      <c r="AL65" s="37"/>
      <c r="AM65" s="36">
        <f>SUM(AL65/12*2*$E65*$G65*$I65*$L65*AM$9)+(AL65/12*10*$F65*$G65*$I65*$L65*AM$9)</f>
        <v>0</v>
      </c>
      <c r="AN65" s="37">
        <v>0</v>
      </c>
      <c r="AO65" s="36">
        <f>SUM(AN65/12*2*$E65*$G65*$I65*$L65*$AE$9)+(AN65/12*10*$F65*$G65*$I65*$L65*$AE$9)</f>
        <v>0</v>
      </c>
      <c r="AP65" s="37"/>
      <c r="AQ65" s="36"/>
      <c r="AR65" s="37"/>
      <c r="AS65" s="36">
        <f>SUM(AR65/12*2*$E65*$G65*$I65*$L65*AS$9)+(AR65/12*10*$F65*$G65*$I65*$L65*AS$9)</f>
        <v>0</v>
      </c>
      <c r="AT65" s="37">
        <v>0</v>
      </c>
      <c r="AU65" s="36">
        <f>SUM(AT65/12*2*$E65*$G65*$I65*$L65*$AI$9)+(AT65/12*10*$F65*$G65*$I65*$L65*$AI$9)</f>
        <v>0</v>
      </c>
      <c r="AV65" s="37">
        <v>0</v>
      </c>
      <c r="AW65" s="36">
        <f>SUM(AV65/12*2*$E65*$G65*$I65*$L65*AW$9)+(AV65/12*10*$F65*$G65*$I65*$L65*AW$9)</f>
        <v>0</v>
      </c>
      <c r="AX65" s="37">
        <v>0</v>
      </c>
      <c r="AY65" s="36">
        <f>SUM(AX65/12*2*$E65*$G65*$I65*$L65*AY$9)+(AX65/12*10*$F65*$G65*$I65*$L65*AY$9)</f>
        <v>0</v>
      </c>
      <c r="AZ65" s="37">
        <v>0</v>
      </c>
      <c r="BA65" s="36">
        <f>SUM(AZ65/12*2*$E65*$G65*$I65*$L65*BA$9)+(AZ65/12*10*$F65*$G65*$I65*$L65*BA$9)</f>
        <v>0</v>
      </c>
      <c r="BB65" s="37">
        <v>0</v>
      </c>
      <c r="BC65" s="36">
        <f>SUM(BB65/12*2*$E65*$G65*$I65*$L65*BC$9)+(BB65/12*10*$F65*$G65*$I65*$L65*BC$9)</f>
        <v>0</v>
      </c>
      <c r="BD65" s="37"/>
      <c r="BE65" s="36">
        <f>SUM(BD65/12*2*$E65*$G65*$I65*$L65*BE$9)+(BD65/12*10*$F65*$G65*$I65*$L65*BE$9)</f>
        <v>0</v>
      </c>
      <c r="BF65" s="37"/>
      <c r="BG65" s="39">
        <f>(BF65/12*2*$E65*$G65*$I65*$M65*BG$9)+(BF65/12*10*$F65*$G65*$I65*$M65*BG$9)</f>
        <v>0</v>
      </c>
      <c r="BH65" s="60">
        <v>0</v>
      </c>
      <c r="BI65" s="36">
        <f>(BH65/12*2*$E65*$G65*$I65*$M65*BI$9)+(BH65/12*10*$F65*$G65*$I65*$M65*BI$9)</f>
        <v>0</v>
      </c>
      <c r="BJ65" s="40"/>
      <c r="BK65" s="36">
        <f>(BJ65/12*2*$E65*$G65*$I65*$M65*BK$9)+(BJ65/12*10*$F65*$G65*$I65*$M65*BK$9)</f>
        <v>0</v>
      </c>
      <c r="BL65" s="36">
        <v>0</v>
      </c>
      <c r="BM65" s="36">
        <f>(BL65/12*2*$E65*$G65*$I65*$M65*BM$9)+(BL65/12*10*$F65*$G65*$I65*$M65*BM$9)</f>
        <v>0</v>
      </c>
      <c r="BN65" s="37">
        <v>0</v>
      </c>
      <c r="BO65" s="36">
        <f>(BN65/12*10*$F65*$G65*$I65*$M65*BO$9)</f>
        <v>0</v>
      </c>
      <c r="BP65" s="39"/>
      <c r="BQ65" s="36"/>
      <c r="BR65" s="36">
        <v>15</v>
      </c>
      <c r="BS65" s="36">
        <f>(BR65/12*10*$F65*$G65*$I65*$M65*BS$9)</f>
        <v>540683.64</v>
      </c>
      <c r="BT65" s="37">
        <v>0</v>
      </c>
      <c r="BU65" s="36">
        <f>(BT65/12*2*$E65*$G65*$I65*$M65*BU$9)+(BT65/12*10*$F65*$G65*$I65*$M65*BU$9)</f>
        <v>0</v>
      </c>
      <c r="BV65" s="36">
        <v>0</v>
      </c>
      <c r="BW65" s="36">
        <f>(BV65/12*2*$E65*$G65*$I65*$M65*BW$9)+(BV65/12*10*$F65*$G65*$I65*$M65*BW$9)</f>
        <v>0</v>
      </c>
      <c r="BX65" s="37">
        <v>0</v>
      </c>
      <c r="BY65" s="36">
        <f>(BX65/12*2*$E65*$G65*$I65*$M65*BY$9)+(BX65/12*10*$F65*$G65*$I65*$M65*BY$9)</f>
        <v>0</v>
      </c>
      <c r="BZ65" s="37"/>
      <c r="CA65" s="36">
        <f>(BZ65/12*2*$E65*$G65*$I65*$M65*CA$9)+(BZ65/12*10*$F65*$G65*$I65*$M65*CA$9)</f>
        <v>0</v>
      </c>
      <c r="CB65" s="37"/>
      <c r="CC65" s="36">
        <f>(CB65/12*2*$E65*$G65*$I65*$M65*CC$9)+(CB65/12*10*$F65*$G65*$I65*$M65*CC$9)</f>
        <v>0</v>
      </c>
      <c r="CD65" s="37">
        <v>0</v>
      </c>
      <c r="CE65" s="36">
        <f>(CD65/12*2*$E65*$G65*$I65*$M65*CE$9)+(CD65/12*10*$F65*$G65*$I65*$M65*CE$9)</f>
        <v>0</v>
      </c>
      <c r="CF65" s="37">
        <v>0</v>
      </c>
      <c r="CG65" s="36">
        <f>(CF65/12*2*$E65*$G65*$I65*$N65*CG$9)+(CF65/12*10*$F65*$G65*$I65*$N65*CG$9)</f>
        <v>0</v>
      </c>
      <c r="CH65" s="36">
        <v>0</v>
      </c>
      <c r="CI65" s="36">
        <f>(CH65/12*2*$E65*$G65*$I65*$O65*$CI$9)+(CH65/12*10*$F65*$G65*$I65*$O65*$CI$9)</f>
        <v>0</v>
      </c>
      <c r="CJ65" s="36"/>
      <c r="CK65" s="36"/>
      <c r="CL65" s="36"/>
      <c r="CM65" s="36"/>
      <c r="CN65" s="41"/>
      <c r="CO65" s="41"/>
      <c r="CP65" s="42">
        <f t="shared" ref="CP65:CQ66" si="74">SUM(R65+P65+T65+V65+AB65+Z65+X65+AF65+AD65+AH65+AJ65+BF65+BJ65+AL65+AT65+AV65+BT65+BV65+BR65+BX65+BZ65+BN65+AN65+AP65+AR65+BH65+BL65+AX65+AZ65+BB65+BD65+BP65+CB65+CD65+CF65+CH65+CJ65+CL65)</f>
        <v>19</v>
      </c>
      <c r="CQ65" s="42">
        <f t="shared" si="74"/>
        <v>683720.68799999997</v>
      </c>
    </row>
    <row r="66" spans="1:95" s="3" customFormat="1" ht="30" hidden="1" customHeight="1" x14ac:dyDescent="0.25">
      <c r="A66" s="54"/>
      <c r="B66" s="54">
        <v>43</v>
      </c>
      <c r="C66" s="55" t="s">
        <v>209</v>
      </c>
      <c r="D66" s="120" t="s">
        <v>210</v>
      </c>
      <c r="E66" s="110">
        <v>16026</v>
      </c>
      <c r="F66" s="110">
        <v>16828</v>
      </c>
      <c r="G66" s="33">
        <v>3.17</v>
      </c>
      <c r="H66" s="34"/>
      <c r="I66" s="35">
        <v>1</v>
      </c>
      <c r="J66" s="111"/>
      <c r="K66" s="35"/>
      <c r="L66" s="97">
        <v>1.4</v>
      </c>
      <c r="M66" s="97">
        <v>1.68</v>
      </c>
      <c r="N66" s="97">
        <v>2.23</v>
      </c>
      <c r="O66" s="97">
        <v>2.57</v>
      </c>
      <c r="P66" s="36">
        <v>1</v>
      </c>
      <c r="Q66" s="36">
        <f>SUM(P66*$F66*$G66*$I66*$L66*$Q$9)</f>
        <v>74682.664000000004</v>
      </c>
      <c r="R66" s="37">
        <v>0</v>
      </c>
      <c r="S66" s="36">
        <f>SUM(R66/12*2*$E66*$G66*$I66*$L66*S$9)+(R66/12*10*$F66*$G66*$I66*$L66*S$9)</f>
        <v>0</v>
      </c>
      <c r="T66" s="36">
        <v>0</v>
      </c>
      <c r="U66" s="36">
        <f>SUM(T66/12*2*$E66*$G66*$I66*$L66*U$9)+(T66/12*10*$F66*$G66*$I66*$L66*U$9)</f>
        <v>0</v>
      </c>
      <c r="V66" s="37">
        <v>0</v>
      </c>
      <c r="W66" s="36">
        <f>SUM(V66/12*2*$E66*$G66*$I66*$L66*$W$9)+(V66/12*10*$F66*$G66*$I66*$L66*$W$9)</f>
        <v>0</v>
      </c>
      <c r="X66" s="37">
        <v>0</v>
      </c>
      <c r="Y66" s="38">
        <f>SUM(X66/12*2*$E66*$G66*$I66*$L66*Y$9)+(X66/12*10*$F66*$G66*$I66*$L66*Y$9)</f>
        <v>0</v>
      </c>
      <c r="Z66" s="37"/>
      <c r="AA66" s="36"/>
      <c r="AB66" s="37"/>
      <c r="AC66" s="36">
        <f>(AB66/12*2*$E66*$G66*$I66*$L66)+(AB66/12*10*$F66*$G66*$I66*$L66)</f>
        <v>0</v>
      </c>
      <c r="AD66" s="37"/>
      <c r="AE66" s="36">
        <f>(AD66/12*2*$E66*$G66*$I66*$L66*AE$9)+(AD66/12*10*$F66*$G66*$I66*$L66*AE$9)</f>
        <v>0</v>
      </c>
      <c r="AF66" s="37">
        <v>0</v>
      </c>
      <c r="AG66" s="36">
        <f>(AF66/12*2*$E66*$G66*$I66*$M66*AG$9)+(AF66/12*10*$F66*$G66*$I66*$M66*AG$9)</f>
        <v>0</v>
      </c>
      <c r="AH66" s="37">
        <v>0</v>
      </c>
      <c r="AI66" s="36">
        <f>(AH66/12*2*$E66*$G66*$I66*$M66*$AI$9)+(AH66/12*10*$F66*$G66*$I66*$M66*$AI$9)</f>
        <v>0</v>
      </c>
      <c r="AJ66" s="36">
        <v>0</v>
      </c>
      <c r="AK66" s="36">
        <v>0</v>
      </c>
      <c r="AL66" s="37"/>
      <c r="AM66" s="36">
        <f>SUM(AL66/12*2*$E66*$G66*$I66*$L66*AM$9)+(AL66/12*10*$F66*$G66*$I66*$L66*AM$9)</f>
        <v>0</v>
      </c>
      <c r="AN66" s="37">
        <v>0</v>
      </c>
      <c r="AO66" s="36">
        <f>SUM(AN66/12*2*$E66*$G66*$I66*$L66*$AE$9)+(AN66/12*10*$F66*$G66*$I66*$L66*$AE$9)</f>
        <v>0</v>
      </c>
      <c r="AP66" s="37"/>
      <c r="AQ66" s="36"/>
      <c r="AR66" s="37"/>
      <c r="AS66" s="36">
        <f>SUM(AR66/12*2*$E66*$G66*$I66*$L66*AS$9)+(AR66/12*10*$F66*$G66*$I66*$L66*AS$9)</f>
        <v>0</v>
      </c>
      <c r="AT66" s="37">
        <v>0</v>
      </c>
      <c r="AU66" s="36">
        <f>SUM(AT66/12*2*$E66*$G66*$I66*$L66*$AI$9)+(AT66/12*10*$F66*$G66*$I66*$L66*$AI$9)</f>
        <v>0</v>
      </c>
      <c r="AV66" s="37">
        <v>0</v>
      </c>
      <c r="AW66" s="36">
        <f>SUM(AV66/12*2*$E66*$G66*$I66*$L66*AW$9)+(AV66/12*10*$F66*$G66*$I66*$L66*AW$9)</f>
        <v>0</v>
      </c>
      <c r="AX66" s="37">
        <v>0</v>
      </c>
      <c r="AY66" s="36">
        <f>SUM(AX66/12*2*$E66*$G66*$I66*$L66*AY$9)+(AX66/12*10*$F66*$G66*$I66*$L66*AY$9)</f>
        <v>0</v>
      </c>
      <c r="AZ66" s="37">
        <v>0</v>
      </c>
      <c r="BA66" s="36">
        <f>SUM(AZ66/12*2*$E66*$G66*$I66*$L66*BA$9)+(AZ66/12*10*$F66*$G66*$I66*$L66*BA$9)</f>
        <v>0</v>
      </c>
      <c r="BB66" s="37">
        <v>0</v>
      </c>
      <c r="BC66" s="36">
        <f>SUM(BB66/12*2*$E66*$G66*$I66*$L66*BC$9)+(BB66/12*10*$F66*$G66*$I66*$L66*BC$9)</f>
        <v>0</v>
      </c>
      <c r="BD66" s="37"/>
      <c r="BE66" s="36">
        <f>SUM(BD66/12*2*$E66*$G66*$I66*$L66*BE$9)+(BD66/12*10*$F66*$G66*$I66*$L66*BE$9)</f>
        <v>0</v>
      </c>
      <c r="BF66" s="40"/>
      <c r="BG66" s="39">
        <f>(BF66/12*2*$E66*$G66*$I66*$M66*BG$9)+(BF66/12*10*$F66*$G66*$I66*$M66*BG$9)</f>
        <v>0</v>
      </c>
      <c r="BH66" s="60">
        <v>0</v>
      </c>
      <c r="BI66" s="36">
        <f>(BH66/12*2*$E66*$G66*$I66*$M66*BI$9)+(BH66/12*10*$F66*$G66*$I66*$M66*BI$9)</f>
        <v>0</v>
      </c>
      <c r="BJ66" s="37">
        <v>0</v>
      </c>
      <c r="BK66" s="36">
        <f>(BJ66/12*2*$E66*$G66*$I66*$M66*BK$9)+(BJ66/12*10*$F66*$G66*$I66*$M66*BK$9)</f>
        <v>0</v>
      </c>
      <c r="BL66" s="36">
        <v>0</v>
      </c>
      <c r="BM66" s="36">
        <f>(BL66/12*2*$E66*$G66*$I66*$M66*BM$9)+(BL66/12*10*$F66*$G66*$I66*$M66*BM$9)</f>
        <v>0</v>
      </c>
      <c r="BN66" s="37"/>
      <c r="BO66" s="36">
        <f>(BN66/12*10*$F66*$G66*$I66*$M66*BO$9)</f>
        <v>0</v>
      </c>
      <c r="BP66" s="39"/>
      <c r="BQ66" s="36"/>
      <c r="BR66" s="37">
        <v>0</v>
      </c>
      <c r="BS66" s="36">
        <f>(BR66/12*10*$F66*$G66*$I66*$M66*BS$9)</f>
        <v>0</v>
      </c>
      <c r="BT66" s="37">
        <v>0</v>
      </c>
      <c r="BU66" s="36">
        <f>(BT66/12*2*$E66*$G66*$I66*$M66*BU$9)+(BT66/12*10*$F66*$G66*$I66*$M66*BU$9)</f>
        <v>0</v>
      </c>
      <c r="BV66" s="36">
        <v>0</v>
      </c>
      <c r="BW66" s="36">
        <f>(BV66/12*2*$E66*$G66*$I66*$M66*BW$9)+(BV66/12*10*$F66*$G66*$I66*$M66*BW$9)</f>
        <v>0</v>
      </c>
      <c r="BX66" s="37">
        <v>0</v>
      </c>
      <c r="BY66" s="36">
        <f>(BX66/12*2*$E66*$G66*$I66*$M66*BY$9)+(BX66/12*10*$F66*$G66*$I66*$M66*BY$9)</f>
        <v>0</v>
      </c>
      <c r="BZ66" s="37"/>
      <c r="CA66" s="36">
        <f>(BZ66/12*2*$E66*$G66*$I66*$M66*CA$9)+(BZ66/12*10*$F66*$G66*$I66*$M66*CA$9)</f>
        <v>0</v>
      </c>
      <c r="CB66" s="37"/>
      <c r="CC66" s="36">
        <f>(CB66/12*2*$E66*$G66*$I66*$M66*CC$9)+(CB66/12*10*$F66*$G66*$I66*$M66*CC$9)</f>
        <v>0</v>
      </c>
      <c r="CD66" s="37">
        <v>0</v>
      </c>
      <c r="CE66" s="36">
        <f>(CD66/12*2*$E66*$G66*$I66*$M66*CE$9)+(CD66/12*10*$F66*$G66*$I66*$M66*CE$9)</f>
        <v>0</v>
      </c>
      <c r="CF66" s="37">
        <v>0</v>
      </c>
      <c r="CG66" s="36">
        <f>(CF66/12*2*$E66*$G66*$I66*$N66*CG$9)+(CF66/12*10*$F66*$G66*$I66*$N66*CG$9)</f>
        <v>0</v>
      </c>
      <c r="CH66" s="36">
        <v>0</v>
      </c>
      <c r="CI66" s="36">
        <f>(CH66/12*2*$E66*$G66*$I66*$O66*$CI$9)+(CH66/12*10*$F66*$G66*$I66*$O66*$CI$9)</f>
        <v>0</v>
      </c>
      <c r="CJ66" s="36">
        <v>90</v>
      </c>
      <c r="CK66" s="41">
        <f>(CJ66/12*2*$E66*$G66*$I66*$M66)+(CJ66/12*10*$F66*$G66*$I66*$M66)</f>
        <v>8001660.7439999999</v>
      </c>
      <c r="CL66" s="41"/>
      <c r="CM66" s="41"/>
      <c r="CN66" s="41"/>
      <c r="CO66" s="41"/>
      <c r="CP66" s="42">
        <f t="shared" si="74"/>
        <v>91</v>
      </c>
      <c r="CQ66" s="42">
        <f t="shared" si="74"/>
        <v>8076343.4079999998</v>
      </c>
    </row>
    <row r="67" spans="1:95" s="61" customFormat="1" ht="18.75" hidden="1" customHeight="1" x14ac:dyDescent="0.25">
      <c r="A67" s="140">
        <v>15</v>
      </c>
      <c r="B67" s="140"/>
      <c r="C67" s="125" t="s">
        <v>211</v>
      </c>
      <c r="D67" s="141" t="s">
        <v>212</v>
      </c>
      <c r="E67" s="110">
        <v>16026</v>
      </c>
      <c r="F67" s="134">
        <v>16828</v>
      </c>
      <c r="G67" s="138">
        <v>1.05</v>
      </c>
      <c r="H67" s="136"/>
      <c r="I67" s="128"/>
      <c r="J67" s="129"/>
      <c r="K67" s="29"/>
      <c r="L67" s="97">
        <v>1.4</v>
      </c>
      <c r="M67" s="97">
        <v>1.68</v>
      </c>
      <c r="N67" s="97">
        <v>2.23</v>
      </c>
      <c r="O67" s="97">
        <v>2.57</v>
      </c>
      <c r="P67" s="139">
        <f>SUM(P68:P70)</f>
        <v>15</v>
      </c>
      <c r="Q67" s="139">
        <f t="shared" ref="Q67:BH67" si="75">SUM(Q68:Q70)</f>
        <v>343569.37999999995</v>
      </c>
      <c r="R67" s="139">
        <f t="shared" si="75"/>
        <v>1</v>
      </c>
      <c r="S67" s="139">
        <f t="shared" si="75"/>
        <v>22904.62533333333</v>
      </c>
      <c r="T67" s="139">
        <f t="shared" si="75"/>
        <v>537</v>
      </c>
      <c r="U67" s="139">
        <f t="shared" si="75"/>
        <v>23208228.479333334</v>
      </c>
      <c r="V67" s="139">
        <f t="shared" si="75"/>
        <v>0</v>
      </c>
      <c r="W67" s="139">
        <f t="shared" si="75"/>
        <v>0</v>
      </c>
      <c r="X67" s="139">
        <f t="shared" si="75"/>
        <v>0</v>
      </c>
      <c r="Y67" s="139">
        <f t="shared" si="75"/>
        <v>0</v>
      </c>
      <c r="Z67" s="139">
        <f t="shared" si="75"/>
        <v>0</v>
      </c>
      <c r="AA67" s="139">
        <f t="shared" si="75"/>
        <v>0</v>
      </c>
      <c r="AB67" s="139">
        <f t="shared" si="75"/>
        <v>50</v>
      </c>
      <c r="AC67" s="139">
        <f t="shared" si="75"/>
        <v>1145231.2666666666</v>
      </c>
      <c r="AD67" s="139">
        <f t="shared" si="75"/>
        <v>0</v>
      </c>
      <c r="AE67" s="139">
        <f t="shared" si="75"/>
        <v>0</v>
      </c>
      <c r="AF67" s="139">
        <f t="shared" si="75"/>
        <v>0</v>
      </c>
      <c r="AG67" s="139">
        <f t="shared" si="75"/>
        <v>0</v>
      </c>
      <c r="AH67" s="139">
        <f>SUM(AH68:AH70)</f>
        <v>0</v>
      </c>
      <c r="AI67" s="139">
        <f t="shared" si="75"/>
        <v>0</v>
      </c>
      <c r="AJ67" s="139">
        <v>16</v>
      </c>
      <c r="AK67" s="139">
        <v>439328.68999999994</v>
      </c>
      <c r="AL67" s="139">
        <f t="shared" si="75"/>
        <v>0</v>
      </c>
      <c r="AM67" s="139">
        <f t="shared" si="75"/>
        <v>0</v>
      </c>
      <c r="AN67" s="139">
        <f t="shared" si="75"/>
        <v>0</v>
      </c>
      <c r="AO67" s="139">
        <f t="shared" si="75"/>
        <v>0</v>
      </c>
      <c r="AP67" s="139">
        <f t="shared" si="75"/>
        <v>0</v>
      </c>
      <c r="AQ67" s="139">
        <f t="shared" si="75"/>
        <v>0</v>
      </c>
      <c r="AR67" s="139">
        <f t="shared" si="75"/>
        <v>0</v>
      </c>
      <c r="AS67" s="139">
        <f t="shared" si="75"/>
        <v>0</v>
      </c>
      <c r="AT67" s="139">
        <f t="shared" si="75"/>
        <v>0</v>
      </c>
      <c r="AU67" s="139">
        <f t="shared" si="75"/>
        <v>0</v>
      </c>
      <c r="AV67" s="139">
        <f t="shared" si="75"/>
        <v>0</v>
      </c>
      <c r="AW67" s="139">
        <f t="shared" si="75"/>
        <v>0</v>
      </c>
      <c r="AX67" s="139">
        <f t="shared" si="75"/>
        <v>0</v>
      </c>
      <c r="AY67" s="139">
        <f t="shared" si="75"/>
        <v>0</v>
      </c>
      <c r="AZ67" s="139">
        <f t="shared" si="75"/>
        <v>0</v>
      </c>
      <c r="BA67" s="139">
        <f>SUM(BA68:BA70)</f>
        <v>0</v>
      </c>
      <c r="BB67" s="139">
        <f t="shared" si="75"/>
        <v>0</v>
      </c>
      <c r="BC67" s="139">
        <f>SUM(BC68:BC70)</f>
        <v>0</v>
      </c>
      <c r="BD67" s="139">
        <f t="shared" si="75"/>
        <v>36</v>
      </c>
      <c r="BE67" s="139">
        <f t="shared" si="75"/>
        <v>824566.51199999999</v>
      </c>
      <c r="BF67" s="139">
        <f t="shared" si="75"/>
        <v>30</v>
      </c>
      <c r="BG67" s="139">
        <f t="shared" si="75"/>
        <v>824566.51199999999</v>
      </c>
      <c r="BH67" s="139">
        <f t="shared" si="75"/>
        <v>0</v>
      </c>
      <c r="BI67" s="139">
        <f>SUM(BI68:BI70)</f>
        <v>0</v>
      </c>
      <c r="BJ67" s="139">
        <f t="shared" ref="BJ67:BT67" si="76">SUM(BJ68:BJ70)</f>
        <v>0</v>
      </c>
      <c r="BK67" s="139">
        <f t="shared" si="76"/>
        <v>0</v>
      </c>
      <c r="BL67" s="139">
        <f t="shared" si="76"/>
        <v>3</v>
      </c>
      <c r="BM67" s="139">
        <f t="shared" si="76"/>
        <v>82456.651199999993</v>
      </c>
      <c r="BN67" s="139">
        <f t="shared" si="76"/>
        <v>0</v>
      </c>
      <c r="BO67" s="139">
        <f>SUM(BO68:BO70)</f>
        <v>0</v>
      </c>
      <c r="BP67" s="139">
        <f t="shared" si="76"/>
        <v>0</v>
      </c>
      <c r="BQ67" s="139">
        <f>SUM(BQ68:BQ70)</f>
        <v>0</v>
      </c>
      <c r="BR67" s="139">
        <f t="shared" si="76"/>
        <v>50</v>
      </c>
      <c r="BS67" s="139">
        <f>SUM(BS68:BS70)</f>
        <v>1154400.8</v>
      </c>
      <c r="BT67" s="139">
        <f t="shared" si="76"/>
        <v>0</v>
      </c>
      <c r="BU67" s="139">
        <f>SUM(BU68:BU70)</f>
        <v>0</v>
      </c>
      <c r="BV67" s="139">
        <f t="shared" ref="BV67:CQ67" si="77">SUM(BV68:BV70)</f>
        <v>24</v>
      </c>
      <c r="BW67" s="139">
        <f t="shared" si="77"/>
        <v>659653.20959999994</v>
      </c>
      <c r="BX67" s="139">
        <f t="shared" si="77"/>
        <v>0</v>
      </c>
      <c r="BY67" s="139">
        <f t="shared" si="77"/>
        <v>0</v>
      </c>
      <c r="BZ67" s="139">
        <f t="shared" si="77"/>
        <v>13</v>
      </c>
      <c r="CA67" s="139">
        <f t="shared" si="77"/>
        <v>357312.15519999992</v>
      </c>
      <c r="CB67" s="139">
        <f t="shared" si="77"/>
        <v>0</v>
      </c>
      <c r="CC67" s="139">
        <f t="shared" si="77"/>
        <v>0</v>
      </c>
      <c r="CD67" s="139">
        <f t="shared" si="77"/>
        <v>0</v>
      </c>
      <c r="CE67" s="139">
        <f t="shared" si="77"/>
        <v>0</v>
      </c>
      <c r="CF67" s="139">
        <f t="shared" si="77"/>
        <v>35</v>
      </c>
      <c r="CG67" s="139">
        <f t="shared" si="77"/>
        <v>1276932.8623333331</v>
      </c>
      <c r="CH67" s="139">
        <f t="shared" si="77"/>
        <v>60</v>
      </c>
      <c r="CI67" s="139">
        <f t="shared" si="77"/>
        <v>2522780.8760000002</v>
      </c>
      <c r="CJ67" s="139">
        <f t="shared" si="77"/>
        <v>0</v>
      </c>
      <c r="CK67" s="139">
        <f t="shared" si="77"/>
        <v>0</v>
      </c>
      <c r="CL67" s="139">
        <f t="shared" si="77"/>
        <v>0</v>
      </c>
      <c r="CM67" s="139">
        <f t="shared" si="77"/>
        <v>0</v>
      </c>
      <c r="CN67" s="139">
        <f t="shared" si="77"/>
        <v>0</v>
      </c>
      <c r="CO67" s="139">
        <f t="shared" si="77"/>
        <v>0</v>
      </c>
      <c r="CP67" s="139">
        <f t="shared" si="77"/>
        <v>870</v>
      </c>
      <c r="CQ67" s="139">
        <f t="shared" si="77"/>
        <v>32861932.019666664</v>
      </c>
    </row>
    <row r="68" spans="1:95" s="3" customFormat="1" ht="30" hidden="1" customHeight="1" x14ac:dyDescent="0.25">
      <c r="A68" s="54"/>
      <c r="B68" s="54">
        <v>44</v>
      </c>
      <c r="C68" s="55" t="s">
        <v>213</v>
      </c>
      <c r="D68" s="121" t="s">
        <v>214</v>
      </c>
      <c r="E68" s="110">
        <v>16026</v>
      </c>
      <c r="F68" s="110">
        <v>16828</v>
      </c>
      <c r="G68" s="33">
        <v>0.98</v>
      </c>
      <c r="H68" s="34"/>
      <c r="I68" s="35">
        <v>1</v>
      </c>
      <c r="J68" s="118">
        <v>1</v>
      </c>
      <c r="K68" s="35"/>
      <c r="L68" s="97">
        <v>1.4</v>
      </c>
      <c r="M68" s="97">
        <v>1.68</v>
      </c>
      <c r="N68" s="97">
        <v>2.23</v>
      </c>
      <c r="O68" s="97">
        <v>2.57</v>
      </c>
      <c r="P68" s="36">
        <v>15</v>
      </c>
      <c r="Q68" s="36">
        <f>SUM(P68/12*2*$E68*$G68*$I68*$L68*$Q$9)+(P68/12*10*$F68*$G68*$J68*$L68*$Q$9)</f>
        <v>343569.37999999995</v>
      </c>
      <c r="R68" s="37">
        <v>1</v>
      </c>
      <c r="S68" s="36">
        <f>SUM(R68/12*2*$E68*$G68*$I68*$L68*S$9)+(R68/12*10*$F68*$G68*$J68*$L68*S$9)</f>
        <v>22904.62533333333</v>
      </c>
      <c r="T68" s="36">
        <f>183+41</f>
        <v>224</v>
      </c>
      <c r="U68" s="36">
        <f>SUM(T68/12*2*$E68*$G68*$I68*$L68*U$9)+(T68/12*10*$F68*$G68*$J68*$L68*U$9)</f>
        <v>5130636.0746666677</v>
      </c>
      <c r="V68" s="37"/>
      <c r="W68" s="36">
        <f>SUM(V68/12*2*$E68*$G68*$I68*$L68*$W$9)+(V68/12*10*$F68*$G68*$J68*$L68*$W$9)</f>
        <v>0</v>
      </c>
      <c r="X68" s="37"/>
      <c r="Y68" s="38">
        <f>SUM(X68/12*2*$E68*$G68*$I68*$L68*Y$9)+(X68/12*10*$F68*$G68*$J68*$L68*Y$9)</f>
        <v>0</v>
      </c>
      <c r="Z68" s="37"/>
      <c r="AA68" s="36"/>
      <c r="AB68" s="36">
        <v>50</v>
      </c>
      <c r="AC68" s="36">
        <f>(AB68/12*2*$E68*$G68*$I68*$L68)+(AB68/12*10*$F68*$G68*$J68*$L68)</f>
        <v>1145231.2666666666</v>
      </c>
      <c r="AD68" s="37">
        <v>0</v>
      </c>
      <c r="AE68" s="36">
        <f>(AD68/12*2*$E68*$G68*$I68*$L68*AE$9)+(AD68/12*10*$F68*$G68*$J68*$L68*AE$9)</f>
        <v>0</v>
      </c>
      <c r="AF68" s="37">
        <v>0</v>
      </c>
      <c r="AG68" s="36">
        <f>(AF68/12*2*$E68*$G68*$I68*$M68*AG$9)+(AF68/12*10*$F68*$G68*$J68*$M68*AG$9)</f>
        <v>0</v>
      </c>
      <c r="AH68" s="69"/>
      <c r="AI68" s="36">
        <f>(AH68/12*2*$E68*$G68*$I68*$M68*$AI$9)+(AH68/12*10*$F68*$G68*$J68*$M68*$AI$9)</f>
        <v>0</v>
      </c>
      <c r="AJ68" s="36">
        <v>16</v>
      </c>
      <c r="AK68" s="36">
        <v>439328.68999999994</v>
      </c>
      <c r="AL68" s="37"/>
      <c r="AM68" s="36">
        <f>SUM(AL68/12*2*$E68*$G68*$I68*$L68*AM$9)+(AL68/12*10*$F68*$G68*$J68*$L68*AM$9)</f>
        <v>0</v>
      </c>
      <c r="AN68" s="37"/>
      <c r="AO68" s="36">
        <f>SUM(AN68/12*2*$E68*$G68*$I68*$L68*$AE$9)+(AN68/12*10*$F68*$G68*$J68*$L68*$AE$9)</f>
        <v>0</v>
      </c>
      <c r="AP68" s="37"/>
      <c r="AQ68" s="36"/>
      <c r="AR68" s="37"/>
      <c r="AS68" s="36">
        <f>SUM(AR68/12*2*$E68*$G68*$I68*$L68*AS$9)+(AR68/12*10*$F68*$G68*$J68*$L68*AS$9)</f>
        <v>0</v>
      </c>
      <c r="AT68" s="37"/>
      <c r="AU68" s="36">
        <f>SUM(AT68/12*2*$E68*$G68*$I68*$L68*$AI$9)+(AT68/12*10*$F68*$G68*$J68*$L68*$AI$9)</f>
        <v>0</v>
      </c>
      <c r="AV68" s="36">
        <v>0</v>
      </c>
      <c r="AW68" s="36">
        <f>SUM(AV68/12*2*$E68*$G68*$I68*$L68*AW$9)+(AV68/12*10*$F68*$G68*$J68*$L68*AW$9)</f>
        <v>0</v>
      </c>
      <c r="AX68" s="37"/>
      <c r="AY68" s="36">
        <f>SUM(AX68/12*2*$E68*$G68*$I68*$L68*AY$9)+(AX68/12*10*$F68*$G68*$J68*$L68*AY$9)</f>
        <v>0</v>
      </c>
      <c r="AZ68" s="37"/>
      <c r="BA68" s="36">
        <f>SUM(AZ68/12*2*$E68*$G68*$I68*$L68*BA$9)+(AZ68/12*10*$F68*$G68*$J68*$L68*BA$9)</f>
        <v>0</v>
      </c>
      <c r="BB68" s="36"/>
      <c r="BC68" s="36">
        <f>SUM(BB68/12*2*$E68*$G68*$I68*$L68*BC$9)+(BB68/12*10*$F68*$G68*$J68*$L68*BC$9)</f>
        <v>0</v>
      </c>
      <c r="BD68" s="36">
        <v>36</v>
      </c>
      <c r="BE68" s="36">
        <f>SUM(BD68/12*2*$E68*$G68*$I68*$L68*BE$9)+(BD68/12*10*$F68*$G68*$J68*$L68*BE$9)</f>
        <v>824566.51199999999</v>
      </c>
      <c r="BF68" s="36">
        <v>30</v>
      </c>
      <c r="BG68" s="39">
        <f>(BF68/12*2*$E68*$G68*$I68*$M68*BG$9)+(BF68/12*10*$F68*$G68*$J68*$M68*BG$9)</f>
        <v>824566.51199999999</v>
      </c>
      <c r="BH68" s="60"/>
      <c r="BI68" s="36">
        <f>(BH68/12*2*$E68*$G68*$I68*$M68*BI$9)+(BH68/12*10*$F68*$G68*$J68*$M68*BI$9)</f>
        <v>0</v>
      </c>
      <c r="BJ68" s="37"/>
      <c r="BK68" s="36">
        <f>(BJ68/12*2*$E68*$G68*$I68*$M68*BK$9)+(BJ68/12*10*$F68*$G68*$J68*$M68*BK$9)</f>
        <v>0</v>
      </c>
      <c r="BL68" s="69">
        <v>3</v>
      </c>
      <c r="BM68" s="36">
        <f>(BL68/12*2*$E68*$G68*$I68*$M68*BM$9)+(BL68/12*10*$F68*$G68*$J68*$M68*BM$9)</f>
        <v>82456.651199999993</v>
      </c>
      <c r="BN68" s="36"/>
      <c r="BO68" s="36">
        <f>(BN68/12*10*$F68*$G68*$J68*$M68*BO$9)</f>
        <v>0</v>
      </c>
      <c r="BP68" s="59"/>
      <c r="BQ68" s="36"/>
      <c r="BR68" s="58">
        <v>50</v>
      </c>
      <c r="BS68" s="36">
        <f>(BR68/12*10*$F68*$G68*$J68*$M68*BS$9)</f>
        <v>1154400.8</v>
      </c>
      <c r="BT68" s="37"/>
      <c r="BU68" s="36"/>
      <c r="BV68" s="36">
        <v>24</v>
      </c>
      <c r="BW68" s="36">
        <f>(BV68/12*2*$E68*$G68*$I68*$M68*BW$9)+(BV68/12*10*$F68*$G68*$J68*$M68*BW$9)</f>
        <v>659653.20959999994</v>
      </c>
      <c r="BX68" s="40"/>
      <c r="BY68" s="36">
        <f>(BX68/12*2*$E68*$G68*$I68*$M68*BY$9)+(BX68/12*10*$F68*$G68*$J68*$M68*BY$9)</f>
        <v>0</v>
      </c>
      <c r="BZ68" s="58">
        <v>13</v>
      </c>
      <c r="CA68" s="36">
        <f>(BZ68/12*2*$E68*$G68*$I68*$M68*CA$9)+(BZ68/12*10*$F68*$G68*$J68*$M68*CA$9)</f>
        <v>357312.15519999992</v>
      </c>
      <c r="CB68" s="36"/>
      <c r="CC68" s="36">
        <f>(CB68/12*2*$E68*$G68*$I68*$M68*CC$9)+(CB68/12*10*$F68*$G68*$J68*$M68*CC$9)</f>
        <v>0</v>
      </c>
      <c r="CD68" s="37"/>
      <c r="CE68" s="36">
        <f>(CD68/12*2*$E68*$G68*$I68*$M68*CE$9)+(CD68/12*10*$F68*$G68*$J68*$M68*CE$9)</f>
        <v>0</v>
      </c>
      <c r="CF68" s="58">
        <v>35</v>
      </c>
      <c r="CG68" s="36">
        <f>(CF68/12*2*$E68*$G68*$I68*$N68*CG$9)+(CF68/12*10*$F68*$G68*$J68*$N68*CG$9)</f>
        <v>1276932.8623333331</v>
      </c>
      <c r="CH68" s="58">
        <v>60</v>
      </c>
      <c r="CI68" s="36">
        <f>(CH68/12*2*$E68*$G68*$I68*$O68*$CI$9)+(CH68/12*10*$F68*$G68*$J68*$O68*$CI$9)</f>
        <v>2522780.8760000002</v>
      </c>
      <c r="CJ68" s="36"/>
      <c r="CK68" s="36"/>
      <c r="CL68" s="36"/>
      <c r="CM68" s="36"/>
      <c r="CN68" s="41"/>
      <c r="CO68" s="41"/>
      <c r="CP68" s="42">
        <f t="shared" ref="CP68:CQ70" si="78">SUM(R68+P68+T68+V68+AB68+Z68+X68+AF68+AD68+AH68+AJ68+BF68+BJ68+AL68+AT68+AV68+BT68+BV68+BR68+BX68+BZ68+BN68+AN68+AP68+AR68+BH68+BL68+AX68+AZ68+BB68+BD68+BP68+CB68+CD68+CF68+CH68+CJ68+CL68)</f>
        <v>557</v>
      </c>
      <c r="CQ68" s="42">
        <f t="shared" si="78"/>
        <v>14784339.615</v>
      </c>
    </row>
    <row r="69" spans="1:95" s="3" customFormat="1" ht="39.75" hidden="1" customHeight="1" x14ac:dyDescent="0.25">
      <c r="A69" s="54"/>
      <c r="B69" s="54">
        <v>45</v>
      </c>
      <c r="C69" s="55" t="s">
        <v>215</v>
      </c>
      <c r="D69" s="64" t="s">
        <v>216</v>
      </c>
      <c r="E69" s="110">
        <v>16026</v>
      </c>
      <c r="F69" s="110">
        <v>16828</v>
      </c>
      <c r="G69" s="33">
        <v>1.75</v>
      </c>
      <c r="H69" s="34"/>
      <c r="I69" s="35">
        <v>1</v>
      </c>
      <c r="J69" s="118">
        <v>1</v>
      </c>
      <c r="K69" s="83"/>
      <c r="L69" s="65">
        <v>1.4</v>
      </c>
      <c r="M69" s="65">
        <v>1.68</v>
      </c>
      <c r="N69" s="65">
        <v>2.23</v>
      </c>
      <c r="O69" s="65">
        <v>2.57</v>
      </c>
      <c r="P69" s="36"/>
      <c r="Q69" s="36">
        <f>SUM(P69/12*2*$E69*$G69*$I69*$L69*$Q$9)+(P69/12*10*$F69*$G69*$J69*$L69*$Q$9)</f>
        <v>0</v>
      </c>
      <c r="R69" s="37"/>
      <c r="S69" s="36">
        <f>SUM(R69/12*2*$E69*$G69*$I69*$L69*S$9)+(R69/12*10*$F69*$G69*$J69*$L69*S$9)</f>
        <v>0</v>
      </c>
      <c r="T69" s="36">
        <v>115</v>
      </c>
      <c r="U69" s="36">
        <f>SUM(T69/12*2*$E69*$G69*$I69*$L69*U$9)+(T69/12*10*$F69*$G69*$J69*$L69*U$9)</f>
        <v>4703628.416666666</v>
      </c>
      <c r="V69" s="37"/>
      <c r="W69" s="36">
        <f>SUM(V69/12*2*$E69*$G69*$I69*$L69*$W$9)+(V69/12*10*$F69*$G69*$J69*$L69*$W$9)</f>
        <v>0</v>
      </c>
      <c r="X69" s="37"/>
      <c r="Y69" s="38">
        <f>SUM(X69/12*2*$E69*$G69*$I69*$L69*Y$9)+(X69/12*10*$F69*$G69*$J69*$L69*Y$9)</f>
        <v>0</v>
      </c>
      <c r="Z69" s="37"/>
      <c r="AA69" s="36"/>
      <c r="AB69" s="37">
        <v>0</v>
      </c>
      <c r="AC69" s="36">
        <f>(AB69/12*2*$E69*$G69*$I69*$L69)+(AB69/12*10*$F69*$G69*$J69*$L69)</f>
        <v>0</v>
      </c>
      <c r="AD69" s="37">
        <v>0</v>
      </c>
      <c r="AE69" s="36">
        <f>(AD69/12*2*$E69*$G69*$I69*$L69*AE$9)+(AD69/12*10*$F69*$G69*$J69*$L69*AE$9)</f>
        <v>0</v>
      </c>
      <c r="AF69" s="37">
        <v>0</v>
      </c>
      <c r="AG69" s="36">
        <f>(AF69/12*2*$E69*$G69*$I69*$M69*AG$9)+(AF69/12*10*$F69*$G69*$J69*$M69*AG$9)</f>
        <v>0</v>
      </c>
      <c r="AH69" s="37"/>
      <c r="AI69" s="36">
        <f>(AH69/12*2*$E69*$G69*$I69*$M69*$AI$9)+(AH69/12*10*$F69*$G69*$J69*$M69*$AI$9)</f>
        <v>0</v>
      </c>
      <c r="AJ69" s="36">
        <v>0</v>
      </c>
      <c r="AK69" s="36">
        <v>0</v>
      </c>
      <c r="AL69" s="37"/>
      <c r="AM69" s="36">
        <f>SUM(AL69/12*2*$E69*$G69*$I69*$L69*AM$9)+(AL69/12*10*$F69*$G69*$J69*$L69*AM$9)</f>
        <v>0</v>
      </c>
      <c r="AN69" s="37"/>
      <c r="AO69" s="36">
        <f>SUM(AN69/12*2*$E69*$G69*$I69*$L69*$AE$9)+(AN69/12*10*$F69*$G69*$J69*$L69*$AE$9)</f>
        <v>0</v>
      </c>
      <c r="AP69" s="37"/>
      <c r="AQ69" s="36"/>
      <c r="AR69" s="37"/>
      <c r="AS69" s="36">
        <f>SUM(AR69/12*2*$E69*$G69*$I69*$L69*AS$9)+(AR69/12*10*$F69*$G69*$J69*$L69*AS$9)</f>
        <v>0</v>
      </c>
      <c r="AT69" s="37"/>
      <c r="AU69" s="36">
        <f>SUM(AT69/12*2*$E69*$G69*$I69*$L69*$AI$9)+(AT69/12*10*$F69*$G69*$J69*$L69*$AI$9)</f>
        <v>0</v>
      </c>
      <c r="AV69" s="37"/>
      <c r="AW69" s="36">
        <f>SUM(AV69/12*2*$E69*$G69*$I69*$L69*AW$9)+(AV69/12*10*$F69*$G69*$J69*$L69*AW$9)</f>
        <v>0</v>
      </c>
      <c r="AX69" s="37"/>
      <c r="AY69" s="36">
        <f>SUM(AX69/12*2*$E69*$G69*$I69*$L69*AY$9)+(AX69/12*10*$F69*$G69*$J69*$L69*AY$9)</f>
        <v>0</v>
      </c>
      <c r="AZ69" s="37"/>
      <c r="BA69" s="36">
        <f>SUM(AZ69/12*2*$E69*$G69*$I69*$L69*BA$9)+(AZ69/12*10*$F69*$G69*$J69*$L69*BA$9)</f>
        <v>0</v>
      </c>
      <c r="BB69" s="37"/>
      <c r="BC69" s="36">
        <f>SUM(BB69/12*2*$E69*$G69*$I69*$L69*BC$9)+(BB69/12*10*$F69*$G69*$J69*$L69*BC$9)</f>
        <v>0</v>
      </c>
      <c r="BD69" s="36"/>
      <c r="BE69" s="36">
        <f>SUM(BD69/12*2*$E69*$G69*$I69*$L69*BE$9)+(BD69/12*10*$F69*$G69*$J69*$L69*BE$9)</f>
        <v>0</v>
      </c>
      <c r="BF69" s="36"/>
      <c r="BG69" s="39">
        <f>(BF69/12*2*$E69*$G69*$I69*$M69*BG$9)+(BF69/12*10*$F69*$G69*$J69*$M69*BG$9)</f>
        <v>0</v>
      </c>
      <c r="BH69" s="60"/>
      <c r="BI69" s="36">
        <f>(BH69/12*2*$E69*$G69*$I69*$M69*BI$9)+(BH69/12*10*$F69*$G69*$J69*$M69*BI$9)</f>
        <v>0</v>
      </c>
      <c r="BJ69" s="37"/>
      <c r="BK69" s="36">
        <f>(BJ69/12*2*$E69*$G69*$I69*$M69*BK$9)+(BJ69/12*10*$F69*$G69*$J69*$M69*BK$9)</f>
        <v>0</v>
      </c>
      <c r="BL69" s="37"/>
      <c r="BM69" s="36">
        <f>(BL69/12*2*$E69*$G69*$I69*$M69*BM$9)+(BL69/12*10*$F69*$G69*$J69*$M69*BM$9)</f>
        <v>0</v>
      </c>
      <c r="BN69" s="36"/>
      <c r="BO69" s="36">
        <f>(BN69/12*10*$F69*$G69*$J69*$M69*BO$9)</f>
        <v>0</v>
      </c>
      <c r="BP69" s="39"/>
      <c r="BQ69" s="36"/>
      <c r="BR69" s="36"/>
      <c r="BS69" s="36">
        <f>(BR69/12*10*$F69*$G69*$J69*$M69*BS$9)</f>
        <v>0</v>
      </c>
      <c r="BT69" s="37"/>
      <c r="BU69" s="36"/>
      <c r="BV69" s="36"/>
      <c r="BW69" s="36">
        <f>(BV69/12*2*$E69*$G69*$I69*$M69*BW$9)+(BV69/12*10*$F69*$G69*$J69*$M69*BW$9)</f>
        <v>0</v>
      </c>
      <c r="BX69" s="37"/>
      <c r="BY69" s="36">
        <f>(BX69/12*2*$E69*$G69*$I69*$M69*BY$9)+(BX69/12*10*$F69*$G69*$J69*$M69*BY$9)</f>
        <v>0</v>
      </c>
      <c r="BZ69" s="37"/>
      <c r="CA69" s="36">
        <f>(BZ69/12*2*$E69*$G69*$I69*$M69*CA$9)+(BZ69/12*10*$F69*$G69*$J69*$M69*CA$9)</f>
        <v>0</v>
      </c>
      <c r="CB69" s="36"/>
      <c r="CC69" s="36">
        <f>(CB69/12*2*$E69*$G69*$I69*$M69*CC$9)+(CB69/12*10*$F69*$G69*$J69*$M69*CC$9)</f>
        <v>0</v>
      </c>
      <c r="CD69" s="37"/>
      <c r="CE69" s="36">
        <f>(CD69/12*2*$E69*$G69*$I69*$M69*CE$9)+(CD69/12*10*$F69*$G69*$J69*$M69*CE$9)</f>
        <v>0</v>
      </c>
      <c r="CF69" s="36"/>
      <c r="CG69" s="36">
        <f>(CF69/12*2*$E69*$G69*$I69*$N69*CG$9)+(CF69/12*10*$F69*$G69*$J69*$N69*CG$9)</f>
        <v>0</v>
      </c>
      <c r="CH69" s="37"/>
      <c r="CI69" s="36">
        <f>(CH69/12*2*$E69*$G69*$I69*$O69*$CI$9)+(CH69/12*10*$F69*$G69*$J69*$O69*$CI$9)</f>
        <v>0</v>
      </c>
      <c r="CJ69" s="36"/>
      <c r="CK69" s="36"/>
      <c r="CL69" s="36"/>
      <c r="CM69" s="36"/>
      <c r="CN69" s="41"/>
      <c r="CO69" s="41"/>
      <c r="CP69" s="42">
        <f t="shared" si="78"/>
        <v>115</v>
      </c>
      <c r="CQ69" s="42">
        <f t="shared" si="78"/>
        <v>4703628.416666666</v>
      </c>
    </row>
    <row r="70" spans="1:95" s="3" customFormat="1" ht="48.75" hidden="1" customHeight="1" x14ac:dyDescent="0.25">
      <c r="A70" s="54"/>
      <c r="B70" s="54">
        <v>46</v>
      </c>
      <c r="C70" s="55" t="s">
        <v>217</v>
      </c>
      <c r="D70" s="64" t="s">
        <v>218</v>
      </c>
      <c r="E70" s="110">
        <v>16026</v>
      </c>
      <c r="F70" s="110">
        <v>16828</v>
      </c>
      <c r="G70" s="33">
        <v>2.89</v>
      </c>
      <c r="H70" s="34"/>
      <c r="I70" s="35">
        <v>1</v>
      </c>
      <c r="J70" s="118">
        <v>1</v>
      </c>
      <c r="K70" s="35"/>
      <c r="L70" s="65">
        <v>1.4</v>
      </c>
      <c r="M70" s="65">
        <v>1.68</v>
      </c>
      <c r="N70" s="65">
        <v>2.23</v>
      </c>
      <c r="O70" s="65">
        <v>2.57</v>
      </c>
      <c r="P70" s="36"/>
      <c r="Q70" s="36">
        <f>SUM(P70/12*2*$E70*$G70*$I70*$L70*$Q$9)+(P70/12*10*$F70*$G70*$J70*$L70*$Q$9)</f>
        <v>0</v>
      </c>
      <c r="R70" s="37"/>
      <c r="S70" s="36">
        <f>SUM(R70/12*2*$E70*$G70*$I70*$L70*S$9)+(R70/12*10*$F70*$G70*$J70*$L70*S$9)</f>
        <v>0</v>
      </c>
      <c r="T70" s="36">
        <v>198</v>
      </c>
      <c r="U70" s="36">
        <f>SUM(T70/12*2*$E70*$G70*$I70*$L70*U$9)+(T70/12*10*$F70*$G70*$J70*$L70*U$9)</f>
        <v>13373963.988</v>
      </c>
      <c r="V70" s="37"/>
      <c r="W70" s="36">
        <f>SUM(V70/12*2*$E70*$G70*$I70*$L70*$W$9)+(V70/12*10*$F70*$G70*$J70*$L70*$W$9)</f>
        <v>0</v>
      </c>
      <c r="X70" s="37"/>
      <c r="Y70" s="38">
        <f>SUM(X70/12*2*$E70*$G70*$I70*$L70*Y$9)+(X70/12*10*$F70*$G70*$J70*$L70*Y$9)</f>
        <v>0</v>
      </c>
      <c r="Z70" s="37"/>
      <c r="AA70" s="36"/>
      <c r="AB70" s="37">
        <v>0</v>
      </c>
      <c r="AC70" s="36">
        <f>(AB70/12*2*$E70*$G70*$I70*$L70)+(AB70/12*10*$F70*$G70*$J70*$L70)</f>
        <v>0</v>
      </c>
      <c r="AD70" s="37">
        <v>0</v>
      </c>
      <c r="AE70" s="36">
        <f>(AD70/12*2*$E70*$G70*$I70*$L70*AE$9)+(AD70/12*10*$F70*$G70*$J70*$L70*AE$9)</f>
        <v>0</v>
      </c>
      <c r="AF70" s="37">
        <v>0</v>
      </c>
      <c r="AG70" s="36">
        <f>(AF70/12*2*$E70*$G70*$I70*$M70*AG$9)+(AF70/12*10*$F70*$G70*$J70*$M70*AG$9)</f>
        <v>0</v>
      </c>
      <c r="AH70" s="37"/>
      <c r="AI70" s="36">
        <f>(AH70/12*2*$E70*$G70*$I70*$M70*$AI$9)+(AH70/12*10*$F70*$G70*$J70*$M70*$AI$9)</f>
        <v>0</v>
      </c>
      <c r="AJ70" s="36">
        <v>0</v>
      </c>
      <c r="AK70" s="36">
        <v>0</v>
      </c>
      <c r="AL70" s="37"/>
      <c r="AM70" s="36">
        <f>SUM(AL70/12*2*$E70*$G70*$I70*$L70*AM$9)+(AL70/12*10*$F70*$G70*$J70*$L70*AM$9)</f>
        <v>0</v>
      </c>
      <c r="AN70" s="37"/>
      <c r="AO70" s="36">
        <f>SUM(AN70/12*2*$E70*$G70*$I70*$L70*$AE$9)+(AN70/12*10*$F70*$G70*$J70*$L70*$AE$9)</f>
        <v>0</v>
      </c>
      <c r="AP70" s="37"/>
      <c r="AQ70" s="36"/>
      <c r="AR70" s="37"/>
      <c r="AS70" s="36">
        <f>SUM(AR70/12*2*$E70*$G70*$I70*$L70*AS$9)+(AR70/12*10*$F70*$G70*$J70*$L70*AS$9)</f>
        <v>0</v>
      </c>
      <c r="AT70" s="37"/>
      <c r="AU70" s="36">
        <f>SUM(AT70/12*2*$E70*$G70*$I70*$L70*$AI$9)+(AT70/12*10*$F70*$G70*$J70*$L70*$AI$9)</f>
        <v>0</v>
      </c>
      <c r="AV70" s="37"/>
      <c r="AW70" s="36">
        <f>SUM(AV70/12*2*$E70*$G70*$I70*$L70*AW$9)+(AV70/12*10*$F70*$G70*$J70*$L70*AW$9)</f>
        <v>0</v>
      </c>
      <c r="AX70" s="37"/>
      <c r="AY70" s="36">
        <f>SUM(AX70/12*2*$E70*$G70*$I70*$L70*AY$9)+(AX70/12*10*$F70*$G70*$J70*$L70*AY$9)</f>
        <v>0</v>
      </c>
      <c r="AZ70" s="37"/>
      <c r="BA70" s="36">
        <f>SUM(AZ70/12*2*$E70*$G70*$I70*$L70*BA$9)+(AZ70/12*10*$F70*$G70*$J70*$L70*BA$9)</f>
        <v>0</v>
      </c>
      <c r="BB70" s="37"/>
      <c r="BC70" s="36">
        <f>SUM(BB70/12*2*$E70*$G70*$I70*$L70*BC$9)+(BB70/12*10*$F70*$G70*$J70*$L70*BC$9)</f>
        <v>0</v>
      </c>
      <c r="BD70" s="36"/>
      <c r="BE70" s="36">
        <f>SUM(BD70/12*2*$E70*$G70*$I70*$L70*BE$9)+(BD70/12*10*$F70*$G70*$J70*$L70*BE$9)</f>
        <v>0</v>
      </c>
      <c r="BF70" s="36"/>
      <c r="BG70" s="39">
        <f>(BF70/12*2*$E70*$G70*$I70*$M70*BG$9)+(BF70/12*10*$F70*$G70*$J70*$M70*BG$9)</f>
        <v>0</v>
      </c>
      <c r="BH70" s="60"/>
      <c r="BI70" s="36">
        <f>(BH70/12*2*$E70*$G70*$I70*$M70*BI$9)+(BH70/12*10*$F70*$G70*$J70*$M70*BI$9)</f>
        <v>0</v>
      </c>
      <c r="BJ70" s="37"/>
      <c r="BK70" s="36">
        <f>(BJ70/12*2*$E70*$G70*$I70*$M70*BK$9)+(BJ70/12*10*$F70*$G70*$J70*$M70*BK$9)</f>
        <v>0</v>
      </c>
      <c r="BL70" s="37"/>
      <c r="BM70" s="36">
        <f>(BL70/12*2*$E70*$G70*$I70*$M70*BM$9)+(BL70/12*10*$F70*$G70*$J70*$M70*BM$9)</f>
        <v>0</v>
      </c>
      <c r="BN70" s="36"/>
      <c r="BO70" s="36">
        <f>(BN70/12*10*$F70*$G70*$J70*$M70*BO$9)</f>
        <v>0</v>
      </c>
      <c r="BP70" s="39"/>
      <c r="BQ70" s="36"/>
      <c r="BR70" s="36"/>
      <c r="BS70" s="36">
        <f>(BR70/12*10*$F70*$G70*$J70*$M70*BS$9)</f>
        <v>0</v>
      </c>
      <c r="BT70" s="37"/>
      <c r="BU70" s="36"/>
      <c r="BV70" s="36"/>
      <c r="BW70" s="36">
        <f>(BV70/12*2*$E70*$G70*$I70*$M70*BW$9)+(BV70/12*10*$F70*$G70*$J70*$M70*BW$9)</f>
        <v>0</v>
      </c>
      <c r="BX70" s="37"/>
      <c r="BY70" s="36">
        <f>(BX70/12*2*$E70*$G70*$I70*$M70*BY$9)+(BX70/12*10*$F70*$G70*$J70*$M70*BY$9)</f>
        <v>0</v>
      </c>
      <c r="BZ70" s="37"/>
      <c r="CA70" s="36">
        <f>(BZ70/12*2*$E70*$G70*$I70*$M70*CA$9)+(BZ70/12*10*$F70*$G70*$J70*$M70*CA$9)</f>
        <v>0</v>
      </c>
      <c r="CB70" s="36"/>
      <c r="CC70" s="36">
        <f>(CB70/12*2*$E70*$G70*$I70*$M70*CC$9)+(CB70/12*10*$F70*$G70*$J70*$M70*CC$9)</f>
        <v>0</v>
      </c>
      <c r="CD70" s="37"/>
      <c r="CE70" s="36">
        <f>(CD70/12*2*$E70*$G70*$I70*$M70*CE$9)+(CD70/12*10*$F70*$G70*$J70*$M70*CE$9)</f>
        <v>0</v>
      </c>
      <c r="CF70" s="36"/>
      <c r="CG70" s="36">
        <f>(CF70/12*2*$E70*$G70*$I70*$N70*CG$9)+(CF70/12*10*$F70*$G70*$J70*$N70*CG$9)</f>
        <v>0</v>
      </c>
      <c r="CH70" s="37"/>
      <c r="CI70" s="36">
        <f>(CH70/12*2*$E70*$G70*$I70*$O70*$CI$9)+(CH70/12*10*$F70*$G70*$J70*$O70*$CI$9)</f>
        <v>0</v>
      </c>
      <c r="CJ70" s="36"/>
      <c r="CK70" s="36"/>
      <c r="CL70" s="36"/>
      <c r="CM70" s="36"/>
      <c r="CN70" s="41"/>
      <c r="CO70" s="41"/>
      <c r="CP70" s="42">
        <f t="shared" si="78"/>
        <v>198</v>
      </c>
      <c r="CQ70" s="42">
        <f t="shared" si="78"/>
        <v>13373963.988</v>
      </c>
    </row>
    <row r="71" spans="1:95" ht="18.75" hidden="1" customHeight="1" x14ac:dyDescent="0.25">
      <c r="A71" s="124">
        <v>16</v>
      </c>
      <c r="B71" s="124"/>
      <c r="C71" s="125" t="s">
        <v>219</v>
      </c>
      <c r="D71" s="142" t="s">
        <v>220</v>
      </c>
      <c r="E71" s="110">
        <v>16026</v>
      </c>
      <c r="F71" s="134">
        <v>16828</v>
      </c>
      <c r="G71" s="138">
        <v>1.06</v>
      </c>
      <c r="H71" s="136"/>
      <c r="I71" s="128"/>
      <c r="J71" s="129"/>
      <c r="K71" s="29"/>
      <c r="L71" s="97">
        <v>1.4</v>
      </c>
      <c r="M71" s="97">
        <v>1.68</v>
      </c>
      <c r="N71" s="97">
        <v>2.23</v>
      </c>
      <c r="O71" s="97">
        <v>2.57</v>
      </c>
      <c r="P71" s="139">
        <f>SUM(P72:P73)</f>
        <v>16</v>
      </c>
      <c r="Q71" s="139">
        <f t="shared" ref="Q71:BH71" si="79">SUM(Q72:Q73)</f>
        <v>351515.88266666658</v>
      </c>
      <c r="R71" s="139">
        <f t="shared" si="79"/>
        <v>65</v>
      </c>
      <c r="S71" s="139">
        <f t="shared" si="79"/>
        <v>3904303.7366666668</v>
      </c>
      <c r="T71" s="139">
        <f t="shared" si="79"/>
        <v>0</v>
      </c>
      <c r="U71" s="139">
        <f t="shared" si="79"/>
        <v>0</v>
      </c>
      <c r="V71" s="139">
        <f t="shared" si="79"/>
        <v>8</v>
      </c>
      <c r="W71" s="139">
        <f t="shared" si="79"/>
        <v>175757.94133333329</v>
      </c>
      <c r="X71" s="139">
        <f t="shared" si="79"/>
        <v>0</v>
      </c>
      <c r="Y71" s="139">
        <f t="shared" si="79"/>
        <v>0</v>
      </c>
      <c r="Z71" s="139">
        <f t="shared" si="79"/>
        <v>0</v>
      </c>
      <c r="AA71" s="139">
        <f t="shared" si="79"/>
        <v>0</v>
      </c>
      <c r="AB71" s="139">
        <f t="shared" si="79"/>
        <v>20</v>
      </c>
      <c r="AC71" s="139">
        <f t="shared" si="79"/>
        <v>439394.85333333333</v>
      </c>
      <c r="AD71" s="139">
        <f t="shared" si="79"/>
        <v>3</v>
      </c>
      <c r="AE71" s="139">
        <f t="shared" si="79"/>
        <v>65909.227999999988</v>
      </c>
      <c r="AF71" s="139">
        <f t="shared" si="79"/>
        <v>0</v>
      </c>
      <c r="AG71" s="139">
        <f t="shared" si="79"/>
        <v>0</v>
      </c>
      <c r="AH71" s="139">
        <f>SUM(AH72:AH73)</f>
        <v>0</v>
      </c>
      <c r="AI71" s="139">
        <f t="shared" si="79"/>
        <v>0</v>
      </c>
      <c r="AJ71" s="139">
        <v>91</v>
      </c>
      <c r="AK71" s="139">
        <v>2392974.5799999991</v>
      </c>
      <c r="AL71" s="139">
        <f t="shared" si="79"/>
        <v>76</v>
      </c>
      <c r="AM71" s="139">
        <f t="shared" si="79"/>
        <v>1669700.4426666666</v>
      </c>
      <c r="AN71" s="139">
        <f t="shared" si="79"/>
        <v>0</v>
      </c>
      <c r="AO71" s="139">
        <f t="shared" si="79"/>
        <v>0</v>
      </c>
      <c r="AP71" s="139">
        <f t="shared" si="79"/>
        <v>0</v>
      </c>
      <c r="AQ71" s="139">
        <f t="shared" si="79"/>
        <v>0</v>
      </c>
      <c r="AR71" s="139">
        <f t="shared" si="79"/>
        <v>0</v>
      </c>
      <c r="AS71" s="139">
        <f t="shared" si="79"/>
        <v>0</v>
      </c>
      <c r="AT71" s="139">
        <f t="shared" si="79"/>
        <v>0</v>
      </c>
      <c r="AU71" s="139">
        <f t="shared" si="79"/>
        <v>0</v>
      </c>
      <c r="AV71" s="139">
        <f t="shared" si="79"/>
        <v>11</v>
      </c>
      <c r="AW71" s="139">
        <f t="shared" si="79"/>
        <v>241667.16933333332</v>
      </c>
      <c r="AX71" s="139">
        <f t="shared" si="79"/>
        <v>82</v>
      </c>
      <c r="AY71" s="139">
        <f t="shared" si="79"/>
        <v>1801518.8986666664</v>
      </c>
      <c r="AZ71" s="139">
        <f t="shared" si="79"/>
        <v>0</v>
      </c>
      <c r="BA71" s="139">
        <f>SUM(BA72:BA73)</f>
        <v>0</v>
      </c>
      <c r="BB71" s="139">
        <f t="shared" si="79"/>
        <v>0</v>
      </c>
      <c r="BC71" s="139">
        <f>SUM(BC72:BC73)</f>
        <v>0</v>
      </c>
      <c r="BD71" s="139">
        <f t="shared" si="79"/>
        <v>139</v>
      </c>
      <c r="BE71" s="139">
        <f t="shared" si="79"/>
        <v>3053794.2306666663</v>
      </c>
      <c r="BF71" s="139">
        <f t="shared" si="79"/>
        <v>14</v>
      </c>
      <c r="BG71" s="139">
        <f t="shared" si="79"/>
        <v>369091.67680000002</v>
      </c>
      <c r="BH71" s="139">
        <f t="shared" si="79"/>
        <v>0</v>
      </c>
      <c r="BI71" s="139">
        <f>SUM(BI72:BI73)</f>
        <v>0</v>
      </c>
      <c r="BJ71" s="139">
        <f t="shared" ref="BJ71:BT71" si="80">SUM(BJ72:BJ73)</f>
        <v>60</v>
      </c>
      <c r="BK71" s="139">
        <f t="shared" si="80"/>
        <v>1581821.4719999998</v>
      </c>
      <c r="BL71" s="139">
        <f t="shared" si="80"/>
        <v>0</v>
      </c>
      <c r="BM71" s="139">
        <f t="shared" si="80"/>
        <v>0</v>
      </c>
      <c r="BN71" s="139">
        <f t="shared" si="80"/>
        <v>9</v>
      </c>
      <c r="BO71" s="139">
        <f>SUM(BO72:BO73)</f>
        <v>199310.83199999999</v>
      </c>
      <c r="BP71" s="139">
        <f t="shared" si="80"/>
        <v>0</v>
      </c>
      <c r="BQ71" s="139">
        <f>SUM(BQ72:BQ73)</f>
        <v>0</v>
      </c>
      <c r="BR71" s="139">
        <f t="shared" si="80"/>
        <v>70</v>
      </c>
      <c r="BS71" s="139">
        <f>SUM(BS72:BS73)</f>
        <v>1550195.3599999999</v>
      </c>
      <c r="BT71" s="139">
        <f t="shared" si="80"/>
        <v>0</v>
      </c>
      <c r="BU71" s="139">
        <f>SUM(BU72:BU73)</f>
        <v>0</v>
      </c>
      <c r="BV71" s="139">
        <f t="shared" ref="BV71:CQ71" si="81">SUM(BV72:BV73)</f>
        <v>25</v>
      </c>
      <c r="BW71" s="139">
        <f t="shared" si="81"/>
        <v>659092.28</v>
      </c>
      <c r="BX71" s="139">
        <f t="shared" si="81"/>
        <v>68</v>
      </c>
      <c r="BY71" s="139">
        <f t="shared" si="81"/>
        <v>1792731.0016000001</v>
      </c>
      <c r="BZ71" s="139">
        <f t="shared" si="81"/>
        <v>25</v>
      </c>
      <c r="CA71" s="139">
        <f t="shared" si="81"/>
        <v>659092.28</v>
      </c>
      <c r="CB71" s="139">
        <f t="shared" si="81"/>
        <v>100</v>
      </c>
      <c r="CC71" s="139">
        <f t="shared" si="81"/>
        <v>1100942.5200000007</v>
      </c>
      <c r="CD71" s="139">
        <f t="shared" si="81"/>
        <v>46</v>
      </c>
      <c r="CE71" s="139">
        <f t="shared" si="81"/>
        <v>1212729.7952000001</v>
      </c>
      <c r="CF71" s="139">
        <f t="shared" si="81"/>
        <v>160</v>
      </c>
      <c r="CG71" s="139">
        <f t="shared" si="81"/>
        <v>5599145.8453333331</v>
      </c>
      <c r="CH71" s="139">
        <f t="shared" si="81"/>
        <v>30</v>
      </c>
      <c r="CI71" s="139">
        <f t="shared" si="81"/>
        <v>1209905.1139999998</v>
      </c>
      <c r="CJ71" s="139">
        <f t="shared" si="81"/>
        <v>0</v>
      </c>
      <c r="CK71" s="139">
        <f t="shared" si="81"/>
        <v>0</v>
      </c>
      <c r="CL71" s="139">
        <f t="shared" si="81"/>
        <v>0</v>
      </c>
      <c r="CM71" s="139">
        <f t="shared" si="81"/>
        <v>0</v>
      </c>
      <c r="CN71" s="139">
        <f t="shared" si="81"/>
        <v>0</v>
      </c>
      <c r="CO71" s="139">
        <f t="shared" si="81"/>
        <v>0</v>
      </c>
      <c r="CP71" s="139">
        <f t="shared" si="81"/>
        <v>1118</v>
      </c>
      <c r="CQ71" s="139">
        <f t="shared" si="81"/>
        <v>30030595.140266668</v>
      </c>
    </row>
    <row r="72" spans="1:95" s="3" customFormat="1" ht="45" hidden="1" customHeight="1" x14ac:dyDescent="0.25">
      <c r="A72" s="54"/>
      <c r="B72" s="54">
        <v>47</v>
      </c>
      <c r="C72" s="55" t="s">
        <v>221</v>
      </c>
      <c r="D72" s="120" t="s">
        <v>222</v>
      </c>
      <c r="E72" s="110">
        <v>16026</v>
      </c>
      <c r="F72" s="110">
        <v>16828</v>
      </c>
      <c r="G72" s="33">
        <v>0.94</v>
      </c>
      <c r="H72" s="34"/>
      <c r="I72" s="35">
        <v>1</v>
      </c>
      <c r="J72" s="118">
        <v>1</v>
      </c>
      <c r="K72" s="35"/>
      <c r="L72" s="97">
        <v>1.4</v>
      </c>
      <c r="M72" s="97">
        <v>1.68</v>
      </c>
      <c r="N72" s="97">
        <v>2.23</v>
      </c>
      <c r="O72" s="97">
        <v>2.57</v>
      </c>
      <c r="P72" s="36">
        <v>16</v>
      </c>
      <c r="Q72" s="36">
        <f>SUM(P72/12*2*$E72*$G72*$I72*$L72*$Q$9)+(P72/12*10*$F72*$G72*$J72*$L72*$Q$9)</f>
        <v>351515.88266666658</v>
      </c>
      <c r="R72" s="37"/>
      <c r="S72" s="36">
        <f>SUM(R72/12*2*$E72*$G72*$I72*$L72*S$9)+(R72/12*10*$F72*$G72*$J72*$L72*S$9)</f>
        <v>0</v>
      </c>
      <c r="T72" s="36">
        <v>0</v>
      </c>
      <c r="U72" s="36">
        <f>SUM(T72/12*2*$E72*$G72*$I72*$L72*U$9)+(T72/12*10*$F72*$G72*$J72*$L72*U$9)</f>
        <v>0</v>
      </c>
      <c r="V72" s="36">
        <f>12-4</f>
        <v>8</v>
      </c>
      <c r="W72" s="36">
        <f>SUM(V72/12*2*$E72*$G72*$I72*$L72*$W$9)+(V72/12*10*$F72*$G72*$J72*$L72*$W$9)</f>
        <v>175757.94133333329</v>
      </c>
      <c r="X72" s="37"/>
      <c r="Y72" s="38">
        <f>SUM(X72/12*2*$E72*$G72*$I72*$L72*Y$9)+(X72/12*10*$F72*$G72*$J72*$L72*Y$9)</f>
        <v>0</v>
      </c>
      <c r="Z72" s="37"/>
      <c r="AA72" s="36"/>
      <c r="AB72" s="36">
        <v>20</v>
      </c>
      <c r="AC72" s="36">
        <f>(AB72/12*2*$E72*$G72*$I72*$L72)+(AB72/12*10*$F72*$G72*$J72*$L72)</f>
        <v>439394.85333333333</v>
      </c>
      <c r="AD72" s="39">
        <v>3</v>
      </c>
      <c r="AE72" s="36">
        <f>(AD72/12*2*$E72*$G72*$I72*$L72*AE$9)+(AD72/12*10*$F72*$G72*$J72*$L72*AE$9)</f>
        <v>65909.227999999988</v>
      </c>
      <c r="AF72" s="37">
        <v>0</v>
      </c>
      <c r="AG72" s="36">
        <f>(AF72/12*2*$E72*$G72*$I72*$M72*AG$9)+(AF72/12*10*$F72*$G72*$J72*$M72*AG$9)</f>
        <v>0</v>
      </c>
      <c r="AH72" s="58"/>
      <c r="AI72" s="36">
        <f>(AH72/12*2*$E72*$G72*$I72*$M72*$AI$9)+(AH72/12*10*$F72*$G72*$J72*$M72*$AI$9)</f>
        <v>0</v>
      </c>
      <c r="AJ72" s="36">
        <v>91</v>
      </c>
      <c r="AK72" s="36">
        <v>2392974.5799999991</v>
      </c>
      <c r="AL72" s="36">
        <v>76</v>
      </c>
      <c r="AM72" s="36">
        <f>SUM(AL72/12*2*$E72*$G72*$I72*$L72*AM$9)+(AL72/12*10*$F72*$G72*$J72*$L72*AM$9)</f>
        <v>1669700.4426666666</v>
      </c>
      <c r="AN72" s="37"/>
      <c r="AO72" s="36">
        <f>SUM(AN72/12*2*$E72*$G72*$I72*$L72*$AE$9)+(AN72/12*10*$F72*$G72*$J72*$L72*$AE$9)</f>
        <v>0</v>
      </c>
      <c r="AP72" s="37"/>
      <c r="AQ72" s="36"/>
      <c r="AR72" s="37"/>
      <c r="AS72" s="36">
        <f>SUM(AR72/12*2*$E72*$G72*$I72*$L72*AS$9)+(AR72/12*10*$F72*$G72*$J72*$L72*AS$9)</f>
        <v>0</v>
      </c>
      <c r="AT72" s="37"/>
      <c r="AU72" s="36">
        <f>SUM(AT72/12*2*$E72*$G72*$I72*$L72*$AI$9)+(AT72/12*10*$F72*$G72*$J72*$L72*$AI$9)</f>
        <v>0</v>
      </c>
      <c r="AV72" s="36">
        <v>11</v>
      </c>
      <c r="AW72" s="36">
        <f>SUM(AV72/12*2*$E72*$G72*$I72*$L72*AW$9)+(AV72/12*10*$F72*$G72*$J72*$L72*AW$9)</f>
        <v>241667.16933333332</v>
      </c>
      <c r="AX72" s="36">
        <v>82</v>
      </c>
      <c r="AY72" s="36">
        <f>SUM(AX72/12*2*$E72*$G72*$I72*$L72*AY$9)+(AX72/12*10*$F72*$G72*$J72*$L72*AY$9)</f>
        <v>1801518.8986666664</v>
      </c>
      <c r="AZ72" s="37"/>
      <c r="BA72" s="36">
        <f>SUM(AZ72/12*2*$E72*$G72*$I72*$L72*BA$9)+(AZ72/12*10*$F72*$G72*$J72*$L72*BA$9)</f>
        <v>0</v>
      </c>
      <c r="BB72" s="36"/>
      <c r="BC72" s="36">
        <f>SUM(BB72/12*2*$E72*$G72*$I72*$L72*BC$9)+(BB72/12*10*$F72*$G72*$J72*$L72*BC$9)</f>
        <v>0</v>
      </c>
      <c r="BD72" s="36">
        <v>139</v>
      </c>
      <c r="BE72" s="36">
        <f>SUM(BD72/12*2*$E72*$G72*$I72*$L72*BE$9)+(BD72/12*10*$F72*$G72*$J72*$L72*BE$9)</f>
        <v>3053794.2306666663</v>
      </c>
      <c r="BF72" s="36">
        <v>14</v>
      </c>
      <c r="BG72" s="39">
        <f>(BF72/12*2*$E72*$G72*$I72*$M72*BG$9)+(BF72/12*10*$F72*$G72*$J72*$M72*BG$9)</f>
        <v>369091.67680000002</v>
      </c>
      <c r="BH72" s="60"/>
      <c r="BI72" s="36">
        <f>(BH72/12*2*$E72*$G72*$I72*$M72*BI$9)+(BH72/12*10*$F72*$G72*$J72*$M72*BI$9)</f>
        <v>0</v>
      </c>
      <c r="BJ72" s="58">
        <v>60</v>
      </c>
      <c r="BK72" s="36">
        <f>(BJ72/12*2*$E72*$G72*$I72*$M72*BK$9)+(BJ72/12*10*$F72*$G72*$J72*$M72*BK$9)</f>
        <v>1581821.4719999998</v>
      </c>
      <c r="BL72" s="37"/>
      <c r="BM72" s="36">
        <f>(BL72/12*2*$E72*$G72*$I72*$M72*BM$9)+(BL72/12*10*$F72*$G72*$J72*$M72*BM$9)</f>
        <v>0</v>
      </c>
      <c r="BN72" s="36">
        <v>9</v>
      </c>
      <c r="BO72" s="36">
        <f>(BN72/12*10*$F72*$G72*$J72*$M72*BO$9)</f>
        <v>199310.83199999999</v>
      </c>
      <c r="BP72" s="59"/>
      <c r="BQ72" s="36"/>
      <c r="BR72" s="58">
        <v>70</v>
      </c>
      <c r="BS72" s="36">
        <f>(BR72/12*10*$F72*$G72*$J72*$M72*BS$9)</f>
        <v>1550195.3599999999</v>
      </c>
      <c r="BT72" s="37"/>
      <c r="BU72" s="36"/>
      <c r="BV72" s="36">
        <v>25</v>
      </c>
      <c r="BW72" s="36">
        <f>(BV72/12*2*$E72*$G72*$I72*$M72*BW$9)+(BV72/12*10*$F72*$G72*$J72*$M72*BW$9)</f>
        <v>659092.28</v>
      </c>
      <c r="BX72" s="58">
        <v>68</v>
      </c>
      <c r="BY72" s="36">
        <f>(BX72/12*2*$E72*$G72*$I72*$M72*BY$9)+(BX72/12*10*$F72*$G72*$J72*$M72*BY$9)</f>
        <v>1792731.0016000001</v>
      </c>
      <c r="BZ72" s="58">
        <v>25</v>
      </c>
      <c r="CA72" s="36">
        <f>(BZ72/12*2*$E72*$G72*$I72*$M72*CA$9)+(BZ72/12*10*$F72*$G72*$J72*$M72*CA$9)</f>
        <v>659092.28</v>
      </c>
      <c r="CB72" s="36">
        <v>100</v>
      </c>
      <c r="CC72" s="36">
        <v>1100942.5200000007</v>
      </c>
      <c r="CD72" s="36">
        <v>46</v>
      </c>
      <c r="CE72" s="36">
        <f>(CD72/12*2*$E72*$G72*$I72*$M72*CE$9)+(CD72/12*10*$F72*$G72*$J72*$M72*CE$9)</f>
        <v>1212729.7952000001</v>
      </c>
      <c r="CF72" s="58">
        <v>160</v>
      </c>
      <c r="CG72" s="36">
        <f>(CF72/12*2*$E72*$G72*$I72*$N72*CG$9)+(CF72/12*10*$F72*$G72*$J72*$N72*CG$9)</f>
        <v>5599145.8453333331</v>
      </c>
      <c r="CH72" s="58">
        <v>30</v>
      </c>
      <c r="CI72" s="36">
        <f>(CH72/12*2*$E72*$G72*$I72*$O72*$CI$9)+(CH72/12*10*$F72*$G72*$J72*$O72*$CI$9)</f>
        <v>1209905.1139999998</v>
      </c>
      <c r="CJ72" s="36"/>
      <c r="CK72" s="36"/>
      <c r="CL72" s="36"/>
      <c r="CM72" s="36"/>
      <c r="CN72" s="41"/>
      <c r="CO72" s="41"/>
      <c r="CP72" s="42">
        <f t="shared" ref="CP72:CQ73" si="82">SUM(R72+P72+T72+V72+AB72+Z72+X72+AF72+AD72+AH72+AJ72+BF72+BJ72+AL72+AT72+AV72+BT72+BV72+BR72+BX72+BZ72+BN72+AN72+AP72+AR72+BH72+BL72+AX72+AZ72+BB72+BD72+BP72+CB72+CD72+CF72+CH72+CJ72+CL72)</f>
        <v>1053</v>
      </c>
      <c r="CQ72" s="42">
        <f t="shared" si="82"/>
        <v>26126291.4036</v>
      </c>
    </row>
    <row r="73" spans="1:95" s="3" customFormat="1" ht="24.75" hidden="1" customHeight="1" x14ac:dyDescent="0.25">
      <c r="A73" s="54"/>
      <c r="B73" s="54">
        <v>48</v>
      </c>
      <c r="C73" s="55" t="s">
        <v>223</v>
      </c>
      <c r="D73" s="121" t="s">
        <v>224</v>
      </c>
      <c r="E73" s="110">
        <v>16026</v>
      </c>
      <c r="F73" s="110">
        <v>16828</v>
      </c>
      <c r="G73" s="33">
        <v>2.57</v>
      </c>
      <c r="H73" s="34"/>
      <c r="I73" s="35">
        <v>1</v>
      </c>
      <c r="J73" s="111"/>
      <c r="K73" s="35"/>
      <c r="L73" s="97">
        <v>1.4</v>
      </c>
      <c r="M73" s="97">
        <v>1.68</v>
      </c>
      <c r="N73" s="97">
        <v>2.23</v>
      </c>
      <c r="O73" s="97">
        <v>2.57</v>
      </c>
      <c r="P73" s="36">
        <v>0</v>
      </c>
      <c r="Q73" s="36">
        <f>SUM(P73/12*2*$E73*$G73*$I73*$L73*$Q$9)+(P73/12*10*$F73*$G73*$I73*$L73*$Q$9)</f>
        <v>0</v>
      </c>
      <c r="R73" s="36">
        <f>70-5</f>
        <v>65</v>
      </c>
      <c r="S73" s="36">
        <f>SUM(R73/12*2*$E73*$G73*$I73*$L73*S$9)+(R73/12*10*$F73*$G73*$I73*$L73*S$9)</f>
        <v>3904303.7366666668</v>
      </c>
      <c r="T73" s="36">
        <v>0</v>
      </c>
      <c r="U73" s="36">
        <f>SUM(T73/12*2*$E73*$G73*$I73*$L73*U$9)+(T73/12*10*$F73*$G73*$I73*$L73*U$9)</f>
        <v>0</v>
      </c>
      <c r="V73" s="37">
        <v>0</v>
      </c>
      <c r="W73" s="36">
        <f>SUM(V73/12*2*$E73*$G73*$I73*$L73*$W$9)+(V73/12*10*$F73*$G73*$I73*$L73*$W$9)</f>
        <v>0</v>
      </c>
      <c r="X73" s="37">
        <v>0</v>
      </c>
      <c r="Y73" s="38">
        <f>SUM(X73/12*2*$E73*$G73*$I73*$L73*Y$9)+(X73/12*10*$F73*$G73*$I73*$L73*Y$9)</f>
        <v>0</v>
      </c>
      <c r="Z73" s="37"/>
      <c r="AA73" s="36"/>
      <c r="AB73" s="37"/>
      <c r="AC73" s="36">
        <f>(AB73/12*2*$E73*$G73*$I73*$L73)+(AB73/12*10*$F73*$G73*$I73*$L73)</f>
        <v>0</v>
      </c>
      <c r="AD73" s="37">
        <v>0</v>
      </c>
      <c r="AE73" s="36">
        <f>(AD73/12*2*$E73*$G73*$I73*$L73*AE$9)+(AD73/12*10*$F73*$G73*$I73*$L73*AE$9)</f>
        <v>0</v>
      </c>
      <c r="AF73" s="37">
        <v>0</v>
      </c>
      <c r="AG73" s="36">
        <f>(AF73/12*2*$E73*$G73*$I73*$M73*AG$9)+(AF73/12*10*$F73*$G73*$I73*$M73*AG$9)</f>
        <v>0</v>
      </c>
      <c r="AH73" s="37">
        <v>0</v>
      </c>
      <c r="AI73" s="36">
        <f>(AH73/12*2*$E73*$G73*$I73*$M73*$AI$9)+(AH73/12*10*$F73*$G73*$I73*$M73*$AI$9)</f>
        <v>0</v>
      </c>
      <c r="AJ73" s="36">
        <v>0</v>
      </c>
      <c r="AK73" s="36">
        <v>0</v>
      </c>
      <c r="AL73" s="37"/>
      <c r="AM73" s="36">
        <f>SUM(AL73/12*2*$E73*$G73*$I73*$L73*AM$9)+(AL73/12*10*$F73*$G73*$I73*$L73*AM$9)</f>
        <v>0</v>
      </c>
      <c r="AN73" s="37">
        <v>0</v>
      </c>
      <c r="AO73" s="36">
        <f>SUM(AN73/12*2*$E73*$G73*$I73*$L73*$AE$9)+(AN73/12*10*$F73*$G73*$I73*$L73*$AE$9)</f>
        <v>0</v>
      </c>
      <c r="AP73" s="37"/>
      <c r="AQ73" s="36"/>
      <c r="AR73" s="37"/>
      <c r="AS73" s="36">
        <f>SUM(AR73/12*2*$E73*$G73*$I73*$L73*AS$9)+(AR73/12*10*$F73*$G73*$I73*$L73*AS$9)</f>
        <v>0</v>
      </c>
      <c r="AT73" s="37">
        <v>0</v>
      </c>
      <c r="AU73" s="36">
        <f>SUM(AT73/12*2*$E73*$G73*$I73*$L73*$AI$9)+(AT73/12*10*$F73*$G73*$I73*$L73*$AI$9)</f>
        <v>0</v>
      </c>
      <c r="AV73" s="37">
        <v>0</v>
      </c>
      <c r="AW73" s="36">
        <f>SUM(AV73/12*2*$E73*$G73*$I73*$L73*AW$9)+(AV73/12*10*$F73*$G73*$I73*$L73*AW$9)</f>
        <v>0</v>
      </c>
      <c r="AX73" s="37">
        <v>0</v>
      </c>
      <c r="AY73" s="36">
        <f>SUM(AX73/12*2*$E73*$G73*$I73*$L73*AY$9)+(AX73/12*10*$F73*$G73*$I73*$L73*AY$9)</f>
        <v>0</v>
      </c>
      <c r="AZ73" s="37">
        <v>0</v>
      </c>
      <c r="BA73" s="36">
        <f>SUM(AZ73/12*2*$E73*$G73*$I73*$L73*BA$9)+(AZ73/12*10*$F73*$G73*$I73*$L73*BA$9)</f>
        <v>0</v>
      </c>
      <c r="BB73" s="37">
        <v>0</v>
      </c>
      <c r="BC73" s="36">
        <f>SUM(BB73/12*2*$E73*$G73*$I73*$L73*BC$9)+(BB73/12*10*$F73*$G73*$I73*$L73*BC$9)</f>
        <v>0</v>
      </c>
      <c r="BD73" s="37"/>
      <c r="BE73" s="36">
        <f>SUM(BD73/12*2*$E73*$G73*$I73*$L73*BE$9)+(BD73/12*10*$F73*$G73*$I73*$L73*BE$9)</f>
        <v>0</v>
      </c>
      <c r="BF73" s="37">
        <v>0</v>
      </c>
      <c r="BG73" s="39">
        <f>(BF73/12*2*$E73*$G73*$I73*$M73*BG$9)+(BF73/12*10*$F73*$G73*$I73*$M73*BG$9)</f>
        <v>0</v>
      </c>
      <c r="BH73" s="60">
        <v>0</v>
      </c>
      <c r="BI73" s="36">
        <f>(BH73/12*2*$E73*$G73*$I73*$M73*BI$9)+(BH73/12*10*$F73*$G73*$I73*$M73*BI$9)</f>
        <v>0</v>
      </c>
      <c r="BJ73" s="37">
        <v>0</v>
      </c>
      <c r="BK73" s="36">
        <f>(BJ73/12*2*$E73*$G73*$I73*$M73*BK$9)+(BJ73/12*10*$F73*$G73*$I73*$M73*BK$9)</f>
        <v>0</v>
      </c>
      <c r="BL73" s="36"/>
      <c r="BM73" s="36">
        <f>(BL73/12*2*$E73*$G73*$I73*$M73*BM$9)+(BL73/12*10*$F73*$G73*$I73*$M73*BM$9)</f>
        <v>0</v>
      </c>
      <c r="BN73" s="37">
        <v>0</v>
      </c>
      <c r="BO73" s="36">
        <f>(BN73/12*10*$F73*$G73*$I73*$M73*BO$9)</f>
        <v>0</v>
      </c>
      <c r="BP73" s="39"/>
      <c r="BQ73" s="36"/>
      <c r="BR73" s="36">
        <v>0</v>
      </c>
      <c r="BS73" s="36">
        <f>(BR73/12*10*$F73*$G73*$I73*$M73*BS$9)</f>
        <v>0</v>
      </c>
      <c r="BT73" s="37">
        <v>0</v>
      </c>
      <c r="BU73" s="36">
        <f>(BT73/12*2*$E73*$G73*$I73*$M73*BU$9)+(BT73/12*10*$F73*$G73*$I73*$M73*BU$9)</f>
        <v>0</v>
      </c>
      <c r="BV73" s="36">
        <v>0</v>
      </c>
      <c r="BW73" s="36">
        <f>(BV73/12*2*$E73*$G73*$I73*$M73*BW$9)+(BV73/12*10*$F73*$G73*$I73*$M73*BW$9)</f>
        <v>0</v>
      </c>
      <c r="BX73" s="37">
        <v>0</v>
      </c>
      <c r="BY73" s="36">
        <f>(BX73/12*2*$E73*$G73*$I73*$M73*BY$9)+(BX73/12*10*$F73*$G73*$I73*$M73*BY$9)</f>
        <v>0</v>
      </c>
      <c r="BZ73" s="37"/>
      <c r="CA73" s="36">
        <f>(BZ73/12*2*$E73*$G73*$I73*$M73*CA$9)+(BZ73/12*10*$F73*$G73*$I73*$M73*CA$9)</f>
        <v>0</v>
      </c>
      <c r="CB73" s="37"/>
      <c r="CC73" s="36">
        <f>(CB73/12*2*$E73*$G73*$I73*$M73*CC$9)+(CB73/12*10*$F73*$G73*$I73*$M73*CC$9)</f>
        <v>0</v>
      </c>
      <c r="CD73" s="37">
        <v>0</v>
      </c>
      <c r="CE73" s="36">
        <f>(CD73/12*2*$E73*$G73*$I73*$M73*CE$9)+(CD73/12*10*$F73*$G73*$I73*$M73*CE$9)</f>
        <v>0</v>
      </c>
      <c r="CF73" s="37">
        <v>0</v>
      </c>
      <c r="CG73" s="36">
        <f>(CF73/12*2*$E73*$G73*$I73*$N73*CG$9)+(CF73/12*10*$F73*$G73*$I73*$N73*CG$9)</f>
        <v>0</v>
      </c>
      <c r="CH73" s="36">
        <v>0</v>
      </c>
      <c r="CI73" s="36">
        <f>(CH73/12*2*$E73*$G73*$I73*$O73*$CI$9)+(CH73/12*10*$F73*$G73*$I73*$O73*$CI$9)</f>
        <v>0</v>
      </c>
      <c r="CJ73" s="36"/>
      <c r="CK73" s="36"/>
      <c r="CL73" s="36"/>
      <c r="CM73" s="36"/>
      <c r="CN73" s="41"/>
      <c r="CO73" s="41"/>
      <c r="CP73" s="42">
        <f t="shared" si="82"/>
        <v>65</v>
      </c>
      <c r="CQ73" s="42">
        <f t="shared" si="82"/>
        <v>3904303.7366666668</v>
      </c>
    </row>
    <row r="74" spans="1:95" ht="18.75" hidden="1" customHeight="1" x14ac:dyDescent="0.25">
      <c r="A74" s="124">
        <v>17</v>
      </c>
      <c r="B74" s="124"/>
      <c r="C74" s="125" t="s">
        <v>225</v>
      </c>
      <c r="D74" s="141" t="s">
        <v>226</v>
      </c>
      <c r="E74" s="110">
        <v>16026</v>
      </c>
      <c r="F74" s="134">
        <v>16828</v>
      </c>
      <c r="G74" s="138">
        <v>1.79</v>
      </c>
      <c r="H74" s="136"/>
      <c r="I74" s="128"/>
      <c r="J74" s="129"/>
      <c r="K74" s="29"/>
      <c r="L74" s="97">
        <v>1.4</v>
      </c>
      <c r="M74" s="97">
        <v>1.68</v>
      </c>
      <c r="N74" s="97">
        <v>2.23</v>
      </c>
      <c r="O74" s="97">
        <v>2.57</v>
      </c>
      <c r="P74" s="139">
        <f>P75</f>
        <v>0</v>
      </c>
      <c r="Q74" s="139">
        <f t="shared" ref="Q74:CB74" si="83">Q75</f>
        <v>0</v>
      </c>
      <c r="R74" s="139">
        <f t="shared" si="83"/>
        <v>0</v>
      </c>
      <c r="S74" s="139">
        <f t="shared" si="83"/>
        <v>0</v>
      </c>
      <c r="T74" s="139">
        <f t="shared" si="83"/>
        <v>0</v>
      </c>
      <c r="U74" s="139">
        <f t="shared" si="83"/>
        <v>0</v>
      </c>
      <c r="V74" s="139">
        <f t="shared" si="83"/>
        <v>0</v>
      </c>
      <c r="W74" s="139">
        <f t="shared" si="83"/>
        <v>0</v>
      </c>
      <c r="X74" s="139">
        <f t="shared" si="83"/>
        <v>0</v>
      </c>
      <c r="Y74" s="139">
        <f t="shared" si="83"/>
        <v>0</v>
      </c>
      <c r="Z74" s="139">
        <f t="shared" si="83"/>
        <v>0</v>
      </c>
      <c r="AA74" s="139">
        <f t="shared" si="83"/>
        <v>0</v>
      </c>
      <c r="AB74" s="139">
        <f t="shared" si="83"/>
        <v>0</v>
      </c>
      <c r="AC74" s="139">
        <f t="shared" si="83"/>
        <v>0</v>
      </c>
      <c r="AD74" s="139">
        <f t="shared" si="83"/>
        <v>0</v>
      </c>
      <c r="AE74" s="139">
        <f t="shared" si="83"/>
        <v>0</v>
      </c>
      <c r="AF74" s="139">
        <f t="shared" si="83"/>
        <v>0</v>
      </c>
      <c r="AG74" s="139">
        <f t="shared" si="83"/>
        <v>0</v>
      </c>
      <c r="AH74" s="139">
        <f>AH75</f>
        <v>0</v>
      </c>
      <c r="AI74" s="139">
        <f t="shared" si="83"/>
        <v>0</v>
      </c>
      <c r="AJ74" s="139">
        <v>0</v>
      </c>
      <c r="AK74" s="139">
        <v>0</v>
      </c>
      <c r="AL74" s="139">
        <f t="shared" si="83"/>
        <v>0</v>
      </c>
      <c r="AM74" s="139">
        <f t="shared" si="83"/>
        <v>0</v>
      </c>
      <c r="AN74" s="139">
        <f t="shared" si="83"/>
        <v>0</v>
      </c>
      <c r="AO74" s="139">
        <f t="shared" si="83"/>
        <v>0</v>
      </c>
      <c r="AP74" s="139">
        <f t="shared" si="83"/>
        <v>0</v>
      </c>
      <c r="AQ74" s="139">
        <f t="shared" si="83"/>
        <v>0</v>
      </c>
      <c r="AR74" s="139">
        <f t="shared" si="83"/>
        <v>0</v>
      </c>
      <c r="AS74" s="139">
        <f t="shared" si="83"/>
        <v>0</v>
      </c>
      <c r="AT74" s="139">
        <f t="shared" si="83"/>
        <v>0</v>
      </c>
      <c r="AU74" s="139">
        <f t="shared" si="83"/>
        <v>0</v>
      </c>
      <c r="AV74" s="139">
        <f t="shared" si="83"/>
        <v>60</v>
      </c>
      <c r="AW74" s="139">
        <f t="shared" si="83"/>
        <v>2510159.96</v>
      </c>
      <c r="AX74" s="139">
        <f t="shared" si="83"/>
        <v>0</v>
      </c>
      <c r="AY74" s="139">
        <f t="shared" si="83"/>
        <v>0</v>
      </c>
      <c r="AZ74" s="139">
        <f t="shared" si="83"/>
        <v>0</v>
      </c>
      <c r="BA74" s="139">
        <f t="shared" si="83"/>
        <v>0</v>
      </c>
      <c r="BB74" s="139">
        <f t="shared" si="83"/>
        <v>0</v>
      </c>
      <c r="BC74" s="139">
        <f t="shared" si="83"/>
        <v>0</v>
      </c>
      <c r="BD74" s="139">
        <f t="shared" si="83"/>
        <v>0</v>
      </c>
      <c r="BE74" s="139">
        <f t="shared" si="83"/>
        <v>0</v>
      </c>
      <c r="BF74" s="139">
        <f t="shared" si="83"/>
        <v>0</v>
      </c>
      <c r="BG74" s="139">
        <f t="shared" si="83"/>
        <v>0</v>
      </c>
      <c r="BH74" s="139">
        <f t="shared" si="83"/>
        <v>0</v>
      </c>
      <c r="BI74" s="139">
        <f t="shared" si="83"/>
        <v>0</v>
      </c>
      <c r="BJ74" s="139">
        <f t="shared" si="83"/>
        <v>0</v>
      </c>
      <c r="BK74" s="139">
        <f t="shared" si="83"/>
        <v>0</v>
      </c>
      <c r="BL74" s="139">
        <f t="shared" si="83"/>
        <v>0</v>
      </c>
      <c r="BM74" s="139">
        <f t="shared" si="83"/>
        <v>0</v>
      </c>
      <c r="BN74" s="139">
        <f t="shared" si="83"/>
        <v>0</v>
      </c>
      <c r="BO74" s="139">
        <f t="shared" si="83"/>
        <v>0</v>
      </c>
      <c r="BP74" s="139">
        <f t="shared" si="83"/>
        <v>0</v>
      </c>
      <c r="BQ74" s="139">
        <f t="shared" si="83"/>
        <v>0</v>
      </c>
      <c r="BR74" s="139">
        <f t="shared" si="83"/>
        <v>0</v>
      </c>
      <c r="BS74" s="139">
        <f t="shared" si="83"/>
        <v>0</v>
      </c>
      <c r="BT74" s="139">
        <f t="shared" si="83"/>
        <v>0</v>
      </c>
      <c r="BU74" s="139">
        <f t="shared" si="83"/>
        <v>0</v>
      </c>
      <c r="BV74" s="139">
        <f t="shared" si="83"/>
        <v>2</v>
      </c>
      <c r="BW74" s="139">
        <f t="shared" si="83"/>
        <v>100406.39840000001</v>
      </c>
      <c r="BX74" s="139">
        <f t="shared" si="83"/>
        <v>0</v>
      </c>
      <c r="BY74" s="139">
        <f t="shared" si="83"/>
        <v>0</v>
      </c>
      <c r="BZ74" s="139">
        <f t="shared" si="83"/>
        <v>0</v>
      </c>
      <c r="CA74" s="139">
        <f t="shared" si="83"/>
        <v>0</v>
      </c>
      <c r="CB74" s="139">
        <f t="shared" si="83"/>
        <v>0</v>
      </c>
      <c r="CC74" s="139">
        <f t="shared" ref="CC74:CQ74" si="84">CC75</f>
        <v>0</v>
      </c>
      <c r="CD74" s="139">
        <f t="shared" si="84"/>
        <v>0</v>
      </c>
      <c r="CE74" s="139">
        <f t="shared" si="84"/>
        <v>0</v>
      </c>
      <c r="CF74" s="139">
        <f t="shared" si="84"/>
        <v>0</v>
      </c>
      <c r="CG74" s="139">
        <f t="shared" si="84"/>
        <v>0</v>
      </c>
      <c r="CH74" s="139">
        <f t="shared" si="84"/>
        <v>0</v>
      </c>
      <c r="CI74" s="139">
        <f t="shared" si="84"/>
        <v>0</v>
      </c>
      <c r="CJ74" s="139">
        <f t="shared" si="84"/>
        <v>0</v>
      </c>
      <c r="CK74" s="139">
        <f t="shared" si="84"/>
        <v>0</v>
      </c>
      <c r="CL74" s="139">
        <f t="shared" si="84"/>
        <v>0</v>
      </c>
      <c r="CM74" s="139">
        <f t="shared" si="84"/>
        <v>0</v>
      </c>
      <c r="CN74" s="139">
        <f t="shared" si="84"/>
        <v>0</v>
      </c>
      <c r="CO74" s="139">
        <f t="shared" si="84"/>
        <v>0</v>
      </c>
      <c r="CP74" s="139">
        <f t="shared" si="84"/>
        <v>62</v>
      </c>
      <c r="CQ74" s="139">
        <f t="shared" si="84"/>
        <v>2610566.3583999998</v>
      </c>
    </row>
    <row r="75" spans="1:95" s="3" customFormat="1" ht="30" hidden="1" customHeight="1" x14ac:dyDescent="0.25">
      <c r="A75" s="54"/>
      <c r="B75" s="54">
        <v>49</v>
      </c>
      <c r="C75" s="55" t="s">
        <v>227</v>
      </c>
      <c r="D75" s="120" t="s">
        <v>228</v>
      </c>
      <c r="E75" s="110">
        <v>16026</v>
      </c>
      <c r="F75" s="110">
        <v>16828</v>
      </c>
      <c r="G75" s="33">
        <v>1.79</v>
      </c>
      <c r="H75" s="34"/>
      <c r="I75" s="35">
        <v>1</v>
      </c>
      <c r="J75" s="111"/>
      <c r="K75" s="35"/>
      <c r="L75" s="97">
        <v>1.4</v>
      </c>
      <c r="M75" s="97">
        <v>1.68</v>
      </c>
      <c r="N75" s="97">
        <v>2.23</v>
      </c>
      <c r="O75" s="97">
        <v>2.57</v>
      </c>
      <c r="P75" s="36">
        <v>0</v>
      </c>
      <c r="Q75" s="36">
        <f>SUM(P75/12*2*$E75*$G75*$I75*$L75*$Q$9)+(P75/12*10*$F75*$G75*$I75*$L75*$Q$9)</f>
        <v>0</v>
      </c>
      <c r="R75" s="37">
        <v>0</v>
      </c>
      <c r="S75" s="36">
        <f>SUM(R75/12*2*$E75*$G75*$I75*$L75*S$9)+(R75/12*10*$F75*$G75*$I75*$L75*S$9)</f>
        <v>0</v>
      </c>
      <c r="T75" s="36">
        <v>0</v>
      </c>
      <c r="U75" s="36">
        <f>SUM(T75/12*2*$E75*$G75*$I75*$L75*U$9)+(T75/12*10*$F75*$G75*$I75*$L75*U$9)</f>
        <v>0</v>
      </c>
      <c r="V75" s="37">
        <v>0</v>
      </c>
      <c r="W75" s="36">
        <f>SUM(V75/12*2*$E75*$G75*$I75*$L75*$W$9)+(V75/12*10*$F75*$G75*$I75*$L75*$W$9)</f>
        <v>0</v>
      </c>
      <c r="X75" s="37">
        <v>0</v>
      </c>
      <c r="Y75" s="38">
        <f>SUM(X75/12*2*$E75*$G75*$I75*$L75*Y$9)+(X75/12*10*$F75*$G75*$I75*$L75*Y$9)</f>
        <v>0</v>
      </c>
      <c r="Z75" s="37"/>
      <c r="AA75" s="36"/>
      <c r="AB75" s="37"/>
      <c r="AC75" s="36">
        <f>(AB75/12*2*$E75*$G75*$I75*$L75)+(AB75/12*10*$F75*$G75*$I75*$L75)</f>
        <v>0</v>
      </c>
      <c r="AD75" s="37">
        <v>0</v>
      </c>
      <c r="AE75" s="36">
        <f>(AD75/12*2*$E75*$G75*$I75*$L75*AE$9)+(AD75/12*10*$F75*$G75*$I75*$L75*AE$9)</f>
        <v>0</v>
      </c>
      <c r="AF75" s="37">
        <v>0</v>
      </c>
      <c r="AG75" s="36">
        <f>(AF75/12*2*$E75*$G75*$I75*$M75*AG$9)+(AF75/12*10*$F75*$G75*$I75*$M75*AG$9)</f>
        <v>0</v>
      </c>
      <c r="AH75" s="37">
        <v>0</v>
      </c>
      <c r="AI75" s="36">
        <f>(AH75/12*2*$E75*$G75*$I75*$M75*$AI$9)+(AH75/12*10*$F75*$G75*$I75*$M75*$AI$9)</f>
        <v>0</v>
      </c>
      <c r="AJ75" s="36">
        <v>0</v>
      </c>
      <c r="AK75" s="36">
        <v>0</v>
      </c>
      <c r="AL75" s="37"/>
      <c r="AM75" s="36">
        <f>SUM(AL75/12*2*$E75*$G75*$I75*$L75*AM$9)+(AL75/12*10*$F75*$G75*$I75*$L75*AM$9)</f>
        <v>0</v>
      </c>
      <c r="AN75" s="37">
        <v>0</v>
      </c>
      <c r="AO75" s="36">
        <f>SUM(AN75/12*2*$E75*$G75*$I75*$L75*$AE$9)+(AN75/12*10*$F75*$G75*$I75*$L75*$AE$9)</f>
        <v>0</v>
      </c>
      <c r="AP75" s="37"/>
      <c r="AQ75" s="36"/>
      <c r="AR75" s="37"/>
      <c r="AS75" s="36">
        <f>SUM(AR75/12*2*$E75*$G75*$I75*$L75*AS$9)+(AR75/12*10*$F75*$G75*$I75*$L75*AS$9)</f>
        <v>0</v>
      </c>
      <c r="AT75" s="37">
        <v>0</v>
      </c>
      <c r="AU75" s="36">
        <f>SUM(AT75/12*2*$E75*$G75*$I75*$L75*$AI$9)+(AT75/12*10*$F75*$G75*$I75*$L75*$AI$9)</f>
        <v>0</v>
      </c>
      <c r="AV75" s="36">
        <v>60</v>
      </c>
      <c r="AW75" s="36">
        <f>SUM(AV75/12*2*$E75*$G75*$I75*$L75*AW$9)+(AV75/12*10*$F75*$G75*$I75*$L75*AW$9)</f>
        <v>2510159.96</v>
      </c>
      <c r="AX75" s="37">
        <v>0</v>
      </c>
      <c r="AY75" s="36">
        <f>SUM(AX75/12*2*$E75*$G75*$I75*$L75*AY$9)+(AX75/12*10*$F75*$G75*$I75*$L75*AY$9)</f>
        <v>0</v>
      </c>
      <c r="AZ75" s="37">
        <v>0</v>
      </c>
      <c r="BA75" s="36">
        <f>SUM(AZ75/12*2*$E75*$G75*$I75*$L75*BA$9)+(AZ75/12*10*$F75*$G75*$I75*$L75*BA$9)</f>
        <v>0</v>
      </c>
      <c r="BB75" s="37">
        <v>0</v>
      </c>
      <c r="BC75" s="36">
        <f>SUM(BB75/12*2*$E75*$G75*$I75*$L75*BC$9)+(BB75/12*10*$F75*$G75*$I75*$L75*BC$9)</f>
        <v>0</v>
      </c>
      <c r="BD75" s="37"/>
      <c r="BE75" s="36">
        <f>SUM(BD75/12*2*$E75*$G75*$I75*$L75*BE$9)+(BD75/12*10*$F75*$G75*$I75*$L75*BE$9)</f>
        <v>0</v>
      </c>
      <c r="BF75" s="37">
        <v>0</v>
      </c>
      <c r="BG75" s="39">
        <f>(BF75/12*2*$E75*$G75*$I75*$M75*BG$9)+(BF75/12*10*$F75*$G75*$I75*$M75*BG$9)</f>
        <v>0</v>
      </c>
      <c r="BH75" s="60">
        <v>0</v>
      </c>
      <c r="BI75" s="36">
        <f>(BH75/12*2*$E75*$G75*$I75*$M75*BI$9)+(BH75/12*10*$F75*$G75*$I75*$M75*BI$9)</f>
        <v>0</v>
      </c>
      <c r="BJ75" s="37">
        <v>0</v>
      </c>
      <c r="BK75" s="36">
        <f>(BJ75/12*2*$E75*$G75*$I75*$M75*BK$9)+(BJ75/12*10*$F75*$G75*$I75*$M75*BK$9)</f>
        <v>0</v>
      </c>
      <c r="BL75" s="37">
        <v>0</v>
      </c>
      <c r="BM75" s="36">
        <f>(BL75/12*2*$E75*$G75*$I75*$M75*BM$9)+(BL75/12*10*$F75*$G75*$I75*$M75*BM$9)</f>
        <v>0</v>
      </c>
      <c r="BN75" s="37"/>
      <c r="BO75" s="36">
        <f>(BN75/12*10*$F75*$G75*$I75*$M75*BO$9)</f>
        <v>0</v>
      </c>
      <c r="BP75" s="39"/>
      <c r="BQ75" s="36"/>
      <c r="BR75" s="36"/>
      <c r="BS75" s="36">
        <f>(BR75/12*10*$F75*$G75*$I75*$M75*BS$9)</f>
        <v>0</v>
      </c>
      <c r="BT75" s="37"/>
      <c r="BU75" s="36">
        <f>(BT75/12*2*$E75*$G75*$I75*$M75*BU$9)+(BT75/12*10*$F75*$G75*$I75*$M75*BU$9)</f>
        <v>0</v>
      </c>
      <c r="BV75" s="36">
        <v>2</v>
      </c>
      <c r="BW75" s="36">
        <f>(BV75/12*2*$E75*$G75*$I75*$M75*BW$9)+(BV75/12*10*$F75*$G75*$I75*$M75*BW$9)</f>
        <v>100406.39840000001</v>
      </c>
      <c r="BX75" s="37">
        <v>0</v>
      </c>
      <c r="BY75" s="36">
        <f>(BX75/12*2*$E75*$G75*$I75*$M75*BY$9)+(BX75/12*10*$F75*$G75*$I75*$M75*BY$9)</f>
        <v>0</v>
      </c>
      <c r="BZ75" s="37"/>
      <c r="CA75" s="36">
        <f>(BZ75/12*2*$E75*$G75*$I75*$M75*CA$9)+(BZ75/12*10*$F75*$G75*$I75*$M75*CA$9)</f>
        <v>0</v>
      </c>
      <c r="CB75" s="37"/>
      <c r="CC75" s="36">
        <f>(CB75/12*2*$E75*$G75*$I75*$M75*CC$9)+(CB75/12*10*$F75*$G75*$I75*$M75*CC$9)</f>
        <v>0</v>
      </c>
      <c r="CD75" s="37">
        <v>0</v>
      </c>
      <c r="CE75" s="36">
        <f>(CD75/12*2*$E75*$G75*$I75*$M75*CE$9)+(CD75/12*10*$F75*$G75*$I75*$M75*CE$9)</f>
        <v>0</v>
      </c>
      <c r="CF75" s="37">
        <v>0</v>
      </c>
      <c r="CG75" s="36">
        <f>(CF75/12*2*$E75*$G75*$I75*$N75*CG$9)+(CF75/12*10*$F75*$G75*$I75*$N75*CG$9)</f>
        <v>0</v>
      </c>
      <c r="CH75" s="36"/>
      <c r="CI75" s="36">
        <f>(CH75/12*2*$E75*$G75*$I75*$O75*$CI$9)+(CH75/12*10*$F75*$G75*$I75*$O75*$CI$9)</f>
        <v>0</v>
      </c>
      <c r="CJ75" s="36"/>
      <c r="CK75" s="36"/>
      <c r="CL75" s="36"/>
      <c r="CM75" s="36"/>
      <c r="CN75" s="41"/>
      <c r="CO75" s="41"/>
      <c r="CP75" s="42">
        <f>SUM(R75+P75+T75+V75+AB75+Z75+X75+AF75+AD75+AH75+AJ75+BF75+BJ75+AL75+AT75+AV75+BT75+BV75+BR75+BX75+BZ75+BN75+AN75+AP75+AR75+BH75+BL75+AX75+AZ75+BB75+BD75+BP75+CB75+CD75+CF75+CH75+CJ75+CL75)</f>
        <v>62</v>
      </c>
      <c r="CQ75" s="42">
        <f>SUM(S75+Q75+U75+W75+AC75+AA75+Y75+AG75+AE75+AI75+AK75+BG75+BK75+AM75+AU75+AW75+BU75+BW75+BS75+BY75+CA75+BO75+AO75+AQ75+AS75+BI75+BM75+AY75+BA75+BC75+BE75+BQ75+CC75+CE75+CG75+CI75+CK75+CM75)</f>
        <v>2610566.3583999998</v>
      </c>
    </row>
    <row r="76" spans="1:95" ht="18.75" hidden="1" customHeight="1" x14ac:dyDescent="0.25">
      <c r="A76" s="124">
        <v>18</v>
      </c>
      <c r="B76" s="124"/>
      <c r="C76" s="125" t="s">
        <v>229</v>
      </c>
      <c r="D76" s="141" t="s">
        <v>230</v>
      </c>
      <c r="E76" s="110">
        <v>16026</v>
      </c>
      <c r="F76" s="134">
        <v>16828</v>
      </c>
      <c r="G76" s="138">
        <v>2.74</v>
      </c>
      <c r="H76" s="136"/>
      <c r="I76" s="128"/>
      <c r="J76" s="129"/>
      <c r="K76" s="29"/>
      <c r="L76" s="97">
        <v>1.4</v>
      </c>
      <c r="M76" s="97">
        <v>1.68</v>
      </c>
      <c r="N76" s="97">
        <v>2.23</v>
      </c>
      <c r="O76" s="97">
        <v>2.57</v>
      </c>
      <c r="P76" s="139">
        <f>SUM(P77:P80)</f>
        <v>1403</v>
      </c>
      <c r="Q76" s="139">
        <f t="shared" ref="Q76:BH76" si="85">SUM(Q77:Q80)</f>
        <v>96666744.318666667</v>
      </c>
      <c r="R76" s="139">
        <f t="shared" si="85"/>
        <v>0</v>
      </c>
      <c r="S76" s="139">
        <f t="shared" si="85"/>
        <v>0</v>
      </c>
      <c r="T76" s="139">
        <f t="shared" si="85"/>
        <v>0</v>
      </c>
      <c r="U76" s="139">
        <f t="shared" si="85"/>
        <v>0</v>
      </c>
      <c r="V76" s="139">
        <f t="shared" si="85"/>
        <v>0</v>
      </c>
      <c r="W76" s="139">
        <f t="shared" si="85"/>
        <v>0</v>
      </c>
      <c r="X76" s="139">
        <f t="shared" si="85"/>
        <v>0</v>
      </c>
      <c r="Y76" s="139">
        <f t="shared" si="85"/>
        <v>0</v>
      </c>
      <c r="Z76" s="139">
        <f t="shared" si="85"/>
        <v>0</v>
      </c>
      <c r="AA76" s="139">
        <f t="shared" si="85"/>
        <v>0</v>
      </c>
      <c r="AB76" s="139">
        <f t="shared" si="85"/>
        <v>82</v>
      </c>
      <c r="AC76" s="139">
        <f t="shared" si="85"/>
        <v>3485709.1733333329</v>
      </c>
      <c r="AD76" s="139">
        <f t="shared" si="85"/>
        <v>10</v>
      </c>
      <c r="AE76" s="139">
        <f t="shared" si="85"/>
        <v>186976.53333333333</v>
      </c>
      <c r="AF76" s="139">
        <f t="shared" si="85"/>
        <v>0</v>
      </c>
      <c r="AG76" s="139">
        <f t="shared" si="85"/>
        <v>0</v>
      </c>
      <c r="AH76" s="139">
        <f>SUM(AH77:AH80)</f>
        <v>24</v>
      </c>
      <c r="AI76" s="139">
        <f t="shared" si="85"/>
        <v>538492.41599999997</v>
      </c>
      <c r="AJ76" s="139">
        <v>3</v>
      </c>
      <c r="AK76" s="139">
        <v>67850.490000000005</v>
      </c>
      <c r="AL76" s="139">
        <f t="shared" si="85"/>
        <v>0</v>
      </c>
      <c r="AM76" s="139">
        <f t="shared" si="85"/>
        <v>0</v>
      </c>
      <c r="AN76" s="139">
        <f t="shared" si="85"/>
        <v>0</v>
      </c>
      <c r="AO76" s="139">
        <f t="shared" si="85"/>
        <v>0</v>
      </c>
      <c r="AP76" s="139">
        <f t="shared" si="85"/>
        <v>0</v>
      </c>
      <c r="AQ76" s="139">
        <f t="shared" si="85"/>
        <v>0</v>
      </c>
      <c r="AR76" s="139">
        <f t="shared" si="85"/>
        <v>0</v>
      </c>
      <c r="AS76" s="139">
        <f t="shared" si="85"/>
        <v>0</v>
      </c>
      <c r="AT76" s="139">
        <f t="shared" si="85"/>
        <v>0</v>
      </c>
      <c r="AU76" s="139">
        <f t="shared" si="85"/>
        <v>0</v>
      </c>
      <c r="AV76" s="139">
        <f t="shared" si="85"/>
        <v>8</v>
      </c>
      <c r="AW76" s="139">
        <f t="shared" si="85"/>
        <v>149581.22666666665</v>
      </c>
      <c r="AX76" s="139">
        <f t="shared" si="85"/>
        <v>0</v>
      </c>
      <c r="AY76" s="139">
        <f t="shared" si="85"/>
        <v>0</v>
      </c>
      <c r="AZ76" s="139">
        <f t="shared" si="85"/>
        <v>0</v>
      </c>
      <c r="BA76" s="139">
        <f>SUM(BA77:BA80)</f>
        <v>0</v>
      </c>
      <c r="BB76" s="139">
        <f t="shared" si="85"/>
        <v>0</v>
      </c>
      <c r="BC76" s="139">
        <f>SUM(BC77:BC80)</f>
        <v>0</v>
      </c>
      <c r="BD76" s="139">
        <f t="shared" si="85"/>
        <v>12</v>
      </c>
      <c r="BE76" s="139">
        <f t="shared" si="85"/>
        <v>224371.83999999997</v>
      </c>
      <c r="BF76" s="139">
        <f t="shared" si="85"/>
        <v>24</v>
      </c>
      <c r="BG76" s="139">
        <f t="shared" si="85"/>
        <v>538492.41599999997</v>
      </c>
      <c r="BH76" s="139">
        <f t="shared" si="85"/>
        <v>0</v>
      </c>
      <c r="BI76" s="139">
        <f>SUM(BI77:BI80)</f>
        <v>0</v>
      </c>
      <c r="BJ76" s="139">
        <f t="shared" ref="BJ76:BT76" si="86">SUM(BJ77:BJ80)</f>
        <v>0</v>
      </c>
      <c r="BK76" s="139">
        <f t="shared" si="86"/>
        <v>0</v>
      </c>
      <c r="BL76" s="139">
        <f t="shared" si="86"/>
        <v>1</v>
      </c>
      <c r="BM76" s="139">
        <f t="shared" si="86"/>
        <v>22437.183999999997</v>
      </c>
      <c r="BN76" s="139">
        <f t="shared" si="86"/>
        <v>0</v>
      </c>
      <c r="BO76" s="139">
        <f>SUM(BO77:BO80)</f>
        <v>0</v>
      </c>
      <c r="BP76" s="139">
        <f t="shared" si="86"/>
        <v>0</v>
      </c>
      <c r="BQ76" s="139">
        <f>SUM(BQ77:BQ80)</f>
        <v>0</v>
      </c>
      <c r="BR76" s="139">
        <f t="shared" si="86"/>
        <v>25</v>
      </c>
      <c r="BS76" s="139">
        <f>SUM(BS77:BS80)</f>
        <v>471184</v>
      </c>
      <c r="BT76" s="139">
        <f t="shared" si="86"/>
        <v>0</v>
      </c>
      <c r="BU76" s="139">
        <f>SUM(BU77:BU80)</f>
        <v>0</v>
      </c>
      <c r="BV76" s="139">
        <f t="shared" ref="BV76:CQ76" si="87">SUM(BV77:BV80)</f>
        <v>12</v>
      </c>
      <c r="BW76" s="139">
        <f t="shared" si="87"/>
        <v>314120.576</v>
      </c>
      <c r="BX76" s="139">
        <f t="shared" si="87"/>
        <v>3</v>
      </c>
      <c r="BY76" s="139">
        <f t="shared" si="87"/>
        <v>67311.551999999996</v>
      </c>
      <c r="BZ76" s="139">
        <f t="shared" si="87"/>
        <v>0</v>
      </c>
      <c r="CA76" s="139">
        <f t="shared" si="87"/>
        <v>0</v>
      </c>
      <c r="CB76" s="139">
        <f t="shared" si="87"/>
        <v>10</v>
      </c>
      <c r="CC76" s="139">
        <f t="shared" si="87"/>
        <v>22616.83</v>
      </c>
      <c r="CD76" s="139">
        <f t="shared" si="87"/>
        <v>3</v>
      </c>
      <c r="CE76" s="139">
        <f t="shared" si="87"/>
        <v>67311.551999999996</v>
      </c>
      <c r="CF76" s="139">
        <f t="shared" si="87"/>
        <v>10</v>
      </c>
      <c r="CG76" s="139">
        <f t="shared" si="87"/>
        <v>297826.90666666673</v>
      </c>
      <c r="CH76" s="139">
        <f t="shared" si="87"/>
        <v>17</v>
      </c>
      <c r="CI76" s="139">
        <f t="shared" si="87"/>
        <v>652147.43733333331</v>
      </c>
      <c r="CJ76" s="139">
        <f t="shared" si="87"/>
        <v>0</v>
      </c>
      <c r="CK76" s="139">
        <f t="shared" si="87"/>
        <v>0</v>
      </c>
      <c r="CL76" s="139">
        <f t="shared" si="87"/>
        <v>0</v>
      </c>
      <c r="CM76" s="139">
        <f t="shared" si="87"/>
        <v>0</v>
      </c>
      <c r="CN76" s="139">
        <f t="shared" si="87"/>
        <v>0</v>
      </c>
      <c r="CO76" s="139">
        <f t="shared" si="87"/>
        <v>0</v>
      </c>
      <c r="CP76" s="139">
        <f t="shared" si="87"/>
        <v>1647</v>
      </c>
      <c r="CQ76" s="139">
        <f t="shared" si="87"/>
        <v>103773174.45200001</v>
      </c>
    </row>
    <row r="77" spans="1:95" s="4" customFormat="1" ht="30" hidden="1" customHeight="1" x14ac:dyDescent="0.25">
      <c r="A77" s="56"/>
      <c r="B77" s="56">
        <v>50</v>
      </c>
      <c r="C77" s="55" t="s">
        <v>231</v>
      </c>
      <c r="D77" s="121" t="s">
        <v>232</v>
      </c>
      <c r="E77" s="110">
        <v>16026</v>
      </c>
      <c r="F77" s="110">
        <v>16828</v>
      </c>
      <c r="G77" s="33">
        <v>1.6</v>
      </c>
      <c r="H77" s="34"/>
      <c r="I77" s="35">
        <v>1</v>
      </c>
      <c r="J77" s="111"/>
      <c r="K77" s="35"/>
      <c r="L77" s="97">
        <v>1.4</v>
      </c>
      <c r="M77" s="97">
        <v>1.68</v>
      </c>
      <c r="N77" s="97">
        <v>2.23</v>
      </c>
      <c r="O77" s="97">
        <v>2.57</v>
      </c>
      <c r="P77" s="36">
        <v>25</v>
      </c>
      <c r="Q77" s="36">
        <f>SUM(P77/12*2*$E77*$G77*$I77*$L77*$Q$9)+(P77/12*10*$F77*$G77*$I77*$L77*$Q$9)</f>
        <v>934882.66666666663</v>
      </c>
      <c r="R77" s="37">
        <v>0</v>
      </c>
      <c r="S77" s="36">
        <f>SUM(R77/12*2*$E77*$G77*$I77*$L77*S$9)+(R77/12*10*$F77*$G77*$I77*$L77*S$9)</f>
        <v>0</v>
      </c>
      <c r="T77" s="36">
        <v>0</v>
      </c>
      <c r="U77" s="36">
        <f>SUM(T77/12*2*$E77*$G77*$I77*$L77*U$9)+(T77/12*10*$F77*$G77*$I77*$L77*U$9)</f>
        <v>0</v>
      </c>
      <c r="V77" s="37">
        <v>0</v>
      </c>
      <c r="W77" s="36">
        <f>SUM(V77/12*2*$E77*$G77*$I77*$L77*$W$9)+(V77/12*10*$F77*$G77*$I77*$L77*$W$9)</f>
        <v>0</v>
      </c>
      <c r="X77" s="37">
        <v>0</v>
      </c>
      <c r="Y77" s="38">
        <f>SUM(X77/12*2*$E77*$G77*$I77*$L77*Y$9)+(X77/12*10*$F77*$G77*$I77*$L77*Y$9)</f>
        <v>0</v>
      </c>
      <c r="Z77" s="37"/>
      <c r="AA77" s="36"/>
      <c r="AB77" s="36">
        <v>50</v>
      </c>
      <c r="AC77" s="36">
        <f>(AB77/12*2*$E77*$G77*$I77*$L77)+(AB77/12*10*$F77*$G77*$I77*$L77)</f>
        <v>1869765.3333333333</v>
      </c>
      <c r="AD77" s="37">
        <v>0</v>
      </c>
      <c r="AE77" s="36">
        <f>(AD77/12*2*$E77*$G77*$I77*$L77*AE$9)+(AD77/12*10*$F77*$G77*$I77*$L77*AE$9)</f>
        <v>0</v>
      </c>
      <c r="AF77" s="37">
        <v>0</v>
      </c>
      <c r="AG77" s="36">
        <f>(AF77/12*2*$E77*$G77*$I77*$M77*AG$9)+(AF77/12*10*$F77*$G77*$I77*$M77*AG$9)</f>
        <v>0</v>
      </c>
      <c r="AH77" s="37"/>
      <c r="AI77" s="36">
        <f>(AH77/12*2*$E77*$G77*$I77*$M77*$AI$9)+(AH77/12*10*$F77*$G77*$I77*$M77*$AI$9)</f>
        <v>0</v>
      </c>
      <c r="AJ77" s="36">
        <v>0</v>
      </c>
      <c r="AK77" s="36">
        <v>0</v>
      </c>
      <c r="AL77" s="37"/>
      <c r="AM77" s="36">
        <f>SUM(AL77/12*2*$E77*$G77*$I77*$L77*AM$9)+(AL77/12*10*$F77*$G77*$I77*$L77*AM$9)</f>
        <v>0</v>
      </c>
      <c r="AN77" s="37">
        <v>0</v>
      </c>
      <c r="AO77" s="36">
        <f>SUM(AN77/12*2*$E77*$G77*$I77*$L77*$AE$9)+(AN77/12*10*$F77*$G77*$I77*$L77*$AE$9)</f>
        <v>0</v>
      </c>
      <c r="AP77" s="37"/>
      <c r="AQ77" s="36"/>
      <c r="AR77" s="37"/>
      <c r="AS77" s="36">
        <f>SUM(AR77/12*2*$E77*$G77*$I77*$L77*AS$9)+(AR77/12*10*$F77*$G77*$I77*$L77*AS$9)</f>
        <v>0</v>
      </c>
      <c r="AT77" s="37"/>
      <c r="AU77" s="36">
        <f>SUM(AT77/12*2*$E77*$G77*$I77*$L77*$AI$9)+(AT77/12*10*$F77*$G77*$I77*$L77*$AI$9)</f>
        <v>0</v>
      </c>
      <c r="AV77" s="37"/>
      <c r="AW77" s="36">
        <f>SUM(AV77/12*2*$E77*$G77*$I77*$L77*AW$9)+(AV77/12*10*$F77*$G77*$I77*$L77*AW$9)</f>
        <v>0</v>
      </c>
      <c r="AX77" s="37">
        <v>0</v>
      </c>
      <c r="AY77" s="36">
        <f>SUM(AX77/12*2*$E77*$G77*$I77*$L77*AY$9)+(AX77/12*10*$F77*$G77*$I77*$L77*AY$9)</f>
        <v>0</v>
      </c>
      <c r="AZ77" s="37">
        <v>0</v>
      </c>
      <c r="BA77" s="36">
        <f>SUM(AZ77/12*2*$E77*$G77*$I77*$L77*BA$9)+(AZ77/12*10*$F77*$G77*$I77*$L77*BA$9)</f>
        <v>0</v>
      </c>
      <c r="BB77" s="37">
        <v>0</v>
      </c>
      <c r="BC77" s="36">
        <f>SUM(BB77/12*2*$E77*$G77*$I77*$L77*BC$9)+(BB77/12*10*$F77*$G77*$I77*$L77*BC$9)</f>
        <v>0</v>
      </c>
      <c r="BD77" s="37"/>
      <c r="BE77" s="36">
        <f>SUM(BD77/12*2*$E77*$G77*$I77*$L77*BE$9)+(BD77/12*10*$F77*$G77*$I77*$L77*BE$9)</f>
        <v>0</v>
      </c>
      <c r="BF77" s="37">
        <v>0</v>
      </c>
      <c r="BG77" s="39">
        <f>(BF77/12*2*$E77*$G77*$I77*$M77*BG$9)+(BF77/12*10*$F77*$G77*$I77*$M77*BG$9)</f>
        <v>0</v>
      </c>
      <c r="BH77" s="60"/>
      <c r="BI77" s="36">
        <f>(BH77/12*2*$E77*$G77*$I77*$M77*BI$9)+(BH77/12*10*$F77*$G77*$I77*$M77*BI$9)</f>
        <v>0</v>
      </c>
      <c r="BJ77" s="37">
        <v>0</v>
      </c>
      <c r="BK77" s="36">
        <f>(BJ77/12*2*$E77*$G77*$I77*$M77*BK$9)+(BJ77/12*10*$F77*$G77*$I77*$M77*BK$9)</f>
        <v>0</v>
      </c>
      <c r="BL77" s="37">
        <v>0</v>
      </c>
      <c r="BM77" s="36">
        <f>(BL77/12*2*$E77*$G77*$I77*$M77*BM$9)+(BL77/12*10*$F77*$G77*$I77*$M77*BM$9)</f>
        <v>0</v>
      </c>
      <c r="BN77" s="36"/>
      <c r="BO77" s="36">
        <f>(BN77/12*10*$F77*$G77*$I77*$M77*BO$9)</f>
        <v>0</v>
      </c>
      <c r="BP77" s="39"/>
      <c r="BQ77" s="36"/>
      <c r="BR77" s="37"/>
      <c r="BS77" s="36">
        <f>(BR77/12*10*$F77*$G77*$I77*$M77*BS$9)</f>
        <v>0</v>
      </c>
      <c r="BT77" s="37"/>
      <c r="BU77" s="36">
        <f>(BT77/12*2*$E77*$G77*$I77*$M77*BU$9)+(BT77/12*10*$F77*$G77*$I77*$M77*BU$9)</f>
        <v>0</v>
      </c>
      <c r="BV77" s="36">
        <v>2</v>
      </c>
      <c r="BW77" s="36">
        <f>(BV77/12*2*$E77*$G77*$I77*$M77*BW$9)+(BV77/12*10*$F77*$G77*$I77*$M77*BW$9)</f>
        <v>89748.73599999999</v>
      </c>
      <c r="BX77" s="37">
        <v>0</v>
      </c>
      <c r="BY77" s="36">
        <f>(BX77/12*2*$E77*$G77*$I77*$M77*BY$9)+(BX77/12*10*$F77*$G77*$I77*$M77*BY$9)</f>
        <v>0</v>
      </c>
      <c r="BZ77" s="37"/>
      <c r="CA77" s="36">
        <f>(BZ77/12*2*$E77*$G77*$I77*$M77*CA$9)+(BZ77/12*10*$F77*$G77*$I77*$M77*CA$9)</f>
        <v>0</v>
      </c>
      <c r="CB77" s="37"/>
      <c r="CC77" s="36">
        <f>(CB77/12*2*$E77*$G77*$I77*$M77*CC$9)+(CB77/12*10*$F77*$G77*$I77*$M77*CC$9)</f>
        <v>0</v>
      </c>
      <c r="CD77" s="37"/>
      <c r="CE77" s="36">
        <f>(CD77/12*2*$E77*$G77*$I77*$M77*CE$9)+(CD77/12*10*$F77*$G77*$I77*$M77*CE$9)</f>
        <v>0</v>
      </c>
      <c r="CF77" s="37">
        <v>0</v>
      </c>
      <c r="CG77" s="36">
        <f>(CF77/12*2*$E77*$G77*$I77*$N77*CG$9)+(CF77/12*10*$F77*$G77*$I77*$N77*CG$9)</f>
        <v>0</v>
      </c>
      <c r="CH77" s="36">
        <v>2</v>
      </c>
      <c r="CI77" s="36">
        <f>(CH77/12*2*$E77*$G77*$I77*$O77*$CI$9)+(CH77/12*10*$F77*$G77*$I77*$O77*$CI$9)</f>
        <v>137294.19733333332</v>
      </c>
      <c r="CJ77" s="36"/>
      <c r="CK77" s="36"/>
      <c r="CL77" s="36"/>
      <c r="CM77" s="36"/>
      <c r="CN77" s="41"/>
      <c r="CO77" s="41"/>
      <c r="CP77" s="42">
        <f t="shared" ref="CP77:CQ80" si="88">SUM(R77+P77+T77+V77+AB77+Z77+X77+AF77+AD77+AH77+AJ77+BF77+BJ77+AL77+AT77+AV77+BT77+BV77+BR77+BX77+BZ77+BN77+AN77+AP77+AR77+BH77+BL77+AX77+AZ77+BB77+BD77+BP77+CB77+CD77+CF77+CH77+CJ77+CL77)</f>
        <v>79</v>
      </c>
      <c r="CQ77" s="42">
        <f t="shared" si="88"/>
        <v>3031690.9333333336</v>
      </c>
    </row>
    <row r="78" spans="1:95" s="3" customFormat="1" ht="30" hidden="1" customHeight="1" x14ac:dyDescent="0.25">
      <c r="A78" s="54"/>
      <c r="B78" s="56">
        <v>51</v>
      </c>
      <c r="C78" s="55" t="s">
        <v>233</v>
      </c>
      <c r="D78" s="121" t="s">
        <v>234</v>
      </c>
      <c r="E78" s="110">
        <v>16026</v>
      </c>
      <c r="F78" s="110">
        <v>16828</v>
      </c>
      <c r="G78" s="33">
        <v>3.25</v>
      </c>
      <c r="H78" s="34"/>
      <c r="I78" s="35">
        <v>1</v>
      </c>
      <c r="J78" s="118">
        <v>0.9</v>
      </c>
      <c r="K78" s="35"/>
      <c r="L78" s="97">
        <v>1.4</v>
      </c>
      <c r="M78" s="97">
        <v>1.68</v>
      </c>
      <c r="N78" s="97">
        <v>2.23</v>
      </c>
      <c r="O78" s="97">
        <v>2.57</v>
      </c>
      <c r="P78" s="36">
        <v>1374</v>
      </c>
      <c r="Q78" s="36">
        <f>SUM(P78/12*2*$E78*$G78*$I78*$L78*$Q$9)+(P78/12*10*$F78*$G78*$J78*$L78*$Q$9)</f>
        <v>95600996.399999991</v>
      </c>
      <c r="R78" s="37"/>
      <c r="S78" s="36">
        <f>SUM(R78/12*2*$E78*$G78*$I78*$L78*S$9)+(R78/12*10*$F78*$G78*$J78*$L78*S$9)</f>
        <v>0</v>
      </c>
      <c r="T78" s="36"/>
      <c r="U78" s="36">
        <f>SUM(T78/12*2*$E78*$G78*$I78*$L78*U$9)+(T78/12*10*$F78*$G78*$J78*$L78*U$9)</f>
        <v>0</v>
      </c>
      <c r="V78" s="37"/>
      <c r="W78" s="36">
        <f>SUM(V78/12*2*$E78*$G78*$I78*$L78*$W$9)+(V78/12*10*$F78*$G78*$J78*$L78*$W$9)</f>
        <v>0</v>
      </c>
      <c r="X78" s="37"/>
      <c r="Y78" s="38">
        <f>SUM(X78/12*2*$E78*$G78*$I78*$L78*Y$9)+(X78/12*10*$F78*$G78*$J78*$L78*Y$9)</f>
        <v>0</v>
      </c>
      <c r="Z78" s="37"/>
      <c r="AA78" s="36"/>
      <c r="AB78" s="36">
        <v>20</v>
      </c>
      <c r="AC78" s="36">
        <f>(AB78/12*2*$E78*$G78*$I78*$L78)+(AB78/12*10*$F78*$G78*$J78*$L78)</f>
        <v>1391572</v>
      </c>
      <c r="AD78" s="37">
        <v>0</v>
      </c>
      <c r="AE78" s="36">
        <f>(AD78/12*2*$E78*$G78*$I78*$L78*AE$9)+(AD78/12*10*$F78*$G78*$J78*$L78*AE$9)</f>
        <v>0</v>
      </c>
      <c r="AF78" s="37">
        <v>0</v>
      </c>
      <c r="AG78" s="36">
        <f>(AF78/12*2*$E78*$G78*$I78*$M78*AG$9)+(AF78/12*10*$F78*$G78*$J78*$M78*AG$9)</f>
        <v>0</v>
      </c>
      <c r="AH78" s="37"/>
      <c r="AI78" s="36">
        <f>(AH78/12*2*$E78*$G78*$I78*$M78*$AI$9)+(AH78/12*10*$F78*$G78*$J78*$M78*$AI$9)</f>
        <v>0</v>
      </c>
      <c r="AJ78" s="36">
        <v>0</v>
      </c>
      <c r="AK78" s="36">
        <v>0</v>
      </c>
      <c r="AL78" s="37"/>
      <c r="AM78" s="36">
        <f>SUM(AL78/12*2*$E78*$G78*$I78*$L78*AM$9)+(AL78/12*10*$F78*$G78*$J78*$L78*AM$9)</f>
        <v>0</v>
      </c>
      <c r="AN78" s="37"/>
      <c r="AO78" s="36">
        <f>SUM(AN78/12*2*$E78*$G78*$I78*$L78*$AE$9)+(AN78/12*10*$F78*$G78*$J78*$L78*$AE$9)</f>
        <v>0</v>
      </c>
      <c r="AP78" s="37"/>
      <c r="AQ78" s="36"/>
      <c r="AR78" s="37"/>
      <c r="AS78" s="36">
        <f>SUM(AR78/12*2*$E78*$G78*$I78*$L78*AS$9)+(AR78/12*10*$F78*$G78*$J78*$L78*AS$9)</f>
        <v>0</v>
      </c>
      <c r="AT78" s="37"/>
      <c r="AU78" s="36">
        <f>SUM(AT78/12*2*$E78*$G78*$I78*$L78*$AI$9)+(AT78/12*10*$F78*$G78*$J78*$L78*$AI$9)</f>
        <v>0</v>
      </c>
      <c r="AV78" s="37"/>
      <c r="AW78" s="36">
        <f>SUM(AV78/12*2*$E78*$G78*$I78*$L78*AW$9)+(AV78/12*10*$F78*$G78*$J78*$L78*AW$9)</f>
        <v>0</v>
      </c>
      <c r="AX78" s="37"/>
      <c r="AY78" s="36">
        <f>SUM(AX78/12*2*$E78*$G78*$I78*$L78*AY$9)+(AX78/12*10*$F78*$G78*$J78*$L78*AY$9)</f>
        <v>0</v>
      </c>
      <c r="AZ78" s="37"/>
      <c r="BA78" s="36">
        <f>SUM(AZ78/12*2*$E78*$G78*$I78*$L78*BA$9)+(AZ78/12*10*$F78*$G78*$J78*$L78*BA$9)</f>
        <v>0</v>
      </c>
      <c r="BB78" s="37"/>
      <c r="BC78" s="36">
        <f>SUM(BB78/12*2*$E78*$G78*$I78*$L78*BC$9)+(BB78/12*10*$F78*$G78*$J78*$L78*BC$9)</f>
        <v>0</v>
      </c>
      <c r="BD78" s="37"/>
      <c r="BE78" s="36">
        <f>SUM(BD78/12*2*$E78*$G78*$I78*$L78*BE$9)+(BD78/12*10*$F78*$G78*$J78*$L78*BE$9)</f>
        <v>0</v>
      </c>
      <c r="BF78" s="36"/>
      <c r="BG78" s="39">
        <f>(BF78/12*2*$E78*$G78*$I78*$M78*BG$9)+(BF78/12*10*$F78*$G78*$J78*$M78*BG$9)</f>
        <v>0</v>
      </c>
      <c r="BH78" s="60"/>
      <c r="BI78" s="36">
        <f>(BH78/12*2*$E78*$G78*$I78*$M78*BI$9)+(BH78/12*10*$F78*$G78*$J78*$M78*BI$9)</f>
        <v>0</v>
      </c>
      <c r="BJ78" s="37"/>
      <c r="BK78" s="36">
        <f>(BJ78/12*2*$E78*$G78*$I78*$M78*BK$9)+(BJ78/12*10*$F78*$G78*$J78*$M78*BK$9)</f>
        <v>0</v>
      </c>
      <c r="BL78" s="37"/>
      <c r="BM78" s="36">
        <f>(BL78/12*2*$E78*$G78*$I78*$M78*BM$9)+(BL78/12*10*$F78*$G78*$J78*$M78*BM$9)</f>
        <v>0</v>
      </c>
      <c r="BN78" s="37"/>
      <c r="BO78" s="36">
        <f>(BN78/12*10*$F78*$G78*$J78*$M78*BO$9)</f>
        <v>0</v>
      </c>
      <c r="BP78" s="39"/>
      <c r="BQ78" s="36"/>
      <c r="BR78" s="36"/>
      <c r="BS78" s="36">
        <f>(BR78/12*10*$F78*$G78*$J78*$M78*BS$9)</f>
        <v>0</v>
      </c>
      <c r="BT78" s="37"/>
      <c r="BU78" s="36"/>
      <c r="BV78" s="36"/>
      <c r="BW78" s="36">
        <f>(BV78/12*2*$E78*$G78*$I78*$M78*BW$9)+(BV78/12*10*$F78*$G78*$J78*$M78*BW$9)</f>
        <v>0</v>
      </c>
      <c r="BX78" s="37"/>
      <c r="BY78" s="36">
        <f>(BX78/12*2*$E78*$G78*$I78*$M78*BY$9)+(BX78/12*10*$F78*$G78*$J78*$M78*BY$9)</f>
        <v>0</v>
      </c>
      <c r="BZ78" s="37"/>
      <c r="CA78" s="36">
        <f>(BZ78/12*2*$E78*$G78*$I78*$M78*CA$9)+(BZ78/12*10*$F78*$G78*$J78*$M78*CA$9)</f>
        <v>0</v>
      </c>
      <c r="CB78" s="37"/>
      <c r="CC78" s="36">
        <f>(CB78/12*2*$E78*$G78*$I78*$M78*CC$9)+(CB78/12*10*$F78*$G78*$J78*$M78*CC$9)</f>
        <v>0</v>
      </c>
      <c r="CD78" s="37"/>
      <c r="CE78" s="36">
        <f>(CD78/12*2*$E78*$G78*$I78*$M78*CE$9)+(CD78/12*10*$F78*$G78*$J78*$M78*CE$9)</f>
        <v>0</v>
      </c>
      <c r="CF78" s="37"/>
      <c r="CG78" s="36">
        <f>(CF78/12*2*$E78*$G78*$I78*$N78*CG$9)+(CF78/12*10*$F78*$G78*$J78*$N78*CG$9)</f>
        <v>0</v>
      </c>
      <c r="CH78" s="36"/>
      <c r="CI78" s="36">
        <f>(CH78/12*2*$E78*$G78*$I78*$O78*$CI$9)+(CH78/12*10*$F78*$G78*$J78*$O78*$CI$9)</f>
        <v>0</v>
      </c>
      <c r="CJ78" s="36"/>
      <c r="CK78" s="36"/>
      <c r="CL78" s="36"/>
      <c r="CM78" s="36"/>
      <c r="CN78" s="41"/>
      <c r="CO78" s="41"/>
      <c r="CP78" s="42">
        <f t="shared" si="88"/>
        <v>1394</v>
      </c>
      <c r="CQ78" s="42">
        <f t="shared" si="88"/>
        <v>96992568.399999991</v>
      </c>
    </row>
    <row r="79" spans="1:95" s="3" customFormat="1" ht="30" hidden="1" customHeight="1" x14ac:dyDescent="0.25">
      <c r="A79" s="54"/>
      <c r="B79" s="56">
        <v>52</v>
      </c>
      <c r="C79" s="55" t="s">
        <v>235</v>
      </c>
      <c r="D79" s="120" t="s">
        <v>236</v>
      </c>
      <c r="E79" s="110">
        <v>16026</v>
      </c>
      <c r="F79" s="110">
        <v>16828</v>
      </c>
      <c r="G79" s="33">
        <v>3.18</v>
      </c>
      <c r="H79" s="34"/>
      <c r="I79" s="35">
        <v>1</v>
      </c>
      <c r="J79" s="111"/>
      <c r="K79" s="35"/>
      <c r="L79" s="97">
        <v>1.4</v>
      </c>
      <c r="M79" s="97">
        <v>1.68</v>
      </c>
      <c r="N79" s="97">
        <v>2.23</v>
      </c>
      <c r="O79" s="97">
        <v>2.57</v>
      </c>
      <c r="P79" s="36">
        <v>1</v>
      </c>
      <c r="Q79" s="36">
        <f>SUM(P79/12*2*$E79*$G79*$I79*$L79*$Q$9)+(P79/12*10*$F79*$G79*$I79*$L79*$Q$9)</f>
        <v>74323.171999999991</v>
      </c>
      <c r="R79" s="37"/>
      <c r="S79" s="36">
        <f>SUM(R79/12*2*$E79*$G79*$I79*$L79*S$9)+(R79/12*10*$F79*$G79*$I79*$L79*S$9)</f>
        <v>0</v>
      </c>
      <c r="T79" s="36"/>
      <c r="U79" s="36">
        <f>SUM(T79/12*2*$E79*$G79*$I79*$L79*U$9)+(T79/12*10*$F79*$G79*$I79*$L79*U$9)</f>
        <v>0</v>
      </c>
      <c r="V79" s="37"/>
      <c r="W79" s="36">
        <f>SUM(V79/12*2*$E79*$G79*$I79*$L79*$W$9)+(V79/12*10*$F79*$G79*$I79*$L79*$W$9)</f>
        <v>0</v>
      </c>
      <c r="X79" s="37"/>
      <c r="Y79" s="38">
        <f>SUM(X79/12*2*$E79*$G79*$I79*$L79*Y$9)+(X79/12*10*$F79*$G79*$I79*$L79*Y$9)</f>
        <v>0</v>
      </c>
      <c r="Z79" s="37"/>
      <c r="AA79" s="36"/>
      <c r="AB79" s="36"/>
      <c r="AC79" s="36">
        <f>(AB79/12*2*$E79*$G79*$I79*$L79)+(AB79/12*10*$F79*$G79*$I79*$L79)</f>
        <v>0</v>
      </c>
      <c r="AD79" s="37">
        <v>0</v>
      </c>
      <c r="AE79" s="36">
        <f>(AD79/12*2*$E79*$G79*$I79*$L79*AE$9)+(AD79/12*10*$F79*$G79*$I79*$L79*AE$9)</f>
        <v>0</v>
      </c>
      <c r="AF79" s="37">
        <v>0</v>
      </c>
      <c r="AG79" s="36">
        <f>(AF79/12*2*$E79*$G79*$I79*$M79*AG$9)+(AF79/12*10*$F79*$G79*$I79*$M79*AG$9)</f>
        <v>0</v>
      </c>
      <c r="AH79" s="37"/>
      <c r="AI79" s="36">
        <f>(AH79/12*2*$E79*$G79*$I79*$M79*$AI$9)+(AH79/12*10*$F79*$G79*$I79*$M79*$AI$9)</f>
        <v>0</v>
      </c>
      <c r="AJ79" s="36">
        <v>0</v>
      </c>
      <c r="AK79" s="36">
        <v>0</v>
      </c>
      <c r="AL79" s="37"/>
      <c r="AM79" s="36">
        <f>SUM(AL79/12*2*$E79*$G79*$I79*$L79*AM$9)+(AL79/12*10*$F79*$G79*$I79*$L79*AM$9)</f>
        <v>0</v>
      </c>
      <c r="AN79" s="37"/>
      <c r="AO79" s="36">
        <f>SUM(AN79/12*2*$E79*$G79*$I79*$L79*$AE$9)+(AN79/12*10*$F79*$G79*$I79*$L79*$AE$9)</f>
        <v>0</v>
      </c>
      <c r="AP79" s="37"/>
      <c r="AQ79" s="36"/>
      <c r="AR79" s="37"/>
      <c r="AS79" s="36">
        <f>SUM(AR79/12*2*$E79*$G79*$I79*$L79*AS$9)+(AR79/12*10*$F79*$G79*$I79*$L79*AS$9)</f>
        <v>0</v>
      </c>
      <c r="AT79" s="37"/>
      <c r="AU79" s="36">
        <f>SUM(AT79/12*2*$E79*$G79*$I79*$L79*$AI$9)+(AT79/12*10*$F79*$G79*$I79*$L79*$AI$9)</f>
        <v>0</v>
      </c>
      <c r="AV79" s="37"/>
      <c r="AW79" s="36">
        <f>SUM(AV79/12*2*$E79*$G79*$I79*$L79*AW$9)+(AV79/12*10*$F79*$G79*$I79*$L79*AW$9)</f>
        <v>0</v>
      </c>
      <c r="AX79" s="37"/>
      <c r="AY79" s="36">
        <f>SUM(AX79/12*2*$E79*$G79*$I79*$L79*AY$9)+(AX79/12*10*$F79*$G79*$I79*$L79*AY$9)</f>
        <v>0</v>
      </c>
      <c r="AZ79" s="37"/>
      <c r="BA79" s="36">
        <f>SUM(AZ79/12*2*$E79*$G79*$I79*$L79*BA$9)+(AZ79/12*10*$F79*$G79*$I79*$L79*BA$9)</f>
        <v>0</v>
      </c>
      <c r="BB79" s="37"/>
      <c r="BC79" s="36">
        <f>SUM(BB79/12*2*$E79*$G79*$I79*$L79*BC$9)+(BB79/12*10*$F79*$G79*$I79*$L79*BC$9)</f>
        <v>0</v>
      </c>
      <c r="BD79" s="37"/>
      <c r="BE79" s="36">
        <f>SUM(BD79/12*2*$E79*$G79*$I79*$L79*BE$9)+(BD79/12*10*$F79*$G79*$I79*$L79*BE$9)</f>
        <v>0</v>
      </c>
      <c r="BF79" s="37"/>
      <c r="BG79" s="39">
        <f>(BF79/12*2*$E79*$G79*$I79*$M79*BG$9)+(BF79/12*10*$F79*$G79*$I79*$M79*BG$9)</f>
        <v>0</v>
      </c>
      <c r="BH79" s="60"/>
      <c r="BI79" s="36">
        <f>(BH79/12*2*$E79*$G79*$I79*$M79*BI$9)+(BH79/12*10*$F79*$G79*$I79*$M79*BI$9)</f>
        <v>0</v>
      </c>
      <c r="BJ79" s="37"/>
      <c r="BK79" s="36">
        <f>(BJ79/12*2*$E79*$G79*$I79*$M79*BK$9)+(BJ79/12*10*$F79*$G79*$I79*$M79*BK$9)</f>
        <v>0</v>
      </c>
      <c r="BL79" s="37"/>
      <c r="BM79" s="36">
        <f>(BL79/12*2*$E79*$G79*$I79*$M79*BM$9)+(BL79/12*10*$F79*$G79*$I79*$M79*BM$9)</f>
        <v>0</v>
      </c>
      <c r="BN79" s="37"/>
      <c r="BO79" s="36">
        <f>(BN79/12*10*$F79*$G79*$I79*$M79*BO$9)</f>
        <v>0</v>
      </c>
      <c r="BP79" s="39"/>
      <c r="BQ79" s="36"/>
      <c r="BR79" s="37"/>
      <c r="BS79" s="36">
        <f>(BR79/12*10*$F79*$G79*$I79*$M79*BS$9)</f>
        <v>0</v>
      </c>
      <c r="BT79" s="37"/>
      <c r="BU79" s="36">
        <f>(BT79/12*2*$E79*$G79*$I79*$M79*BU$9)+(BT79/12*10*$F79*$G79*$I79*$M79*BU$9)</f>
        <v>0</v>
      </c>
      <c r="BV79" s="36"/>
      <c r="BW79" s="36">
        <f>(BV79/12*2*$E79*$G79*$I79*$M79*BW$9)+(BV79/12*10*$F79*$G79*$I79*$M79*BW$9)</f>
        <v>0</v>
      </c>
      <c r="BX79" s="37"/>
      <c r="BY79" s="36">
        <f>(BX79/12*2*$E79*$G79*$I79*$M79*BY$9)+(BX79/12*10*$F79*$G79*$I79*$M79*BY$9)</f>
        <v>0</v>
      </c>
      <c r="BZ79" s="37"/>
      <c r="CA79" s="36">
        <f>(BZ79/12*2*$E79*$G79*$I79*$M79*CA$9)+(BZ79/12*10*$F79*$G79*$I79*$M79*CA$9)</f>
        <v>0</v>
      </c>
      <c r="CB79" s="37"/>
      <c r="CC79" s="36">
        <f>(CB79/12*2*$E79*$G79*$I79*$M79*CC$9)+(CB79/12*10*$F79*$G79*$I79*$M79*CC$9)</f>
        <v>0</v>
      </c>
      <c r="CD79" s="37"/>
      <c r="CE79" s="36">
        <f>(CD79/12*2*$E79*$G79*$I79*$M79*CE$9)+(CD79/12*10*$F79*$G79*$I79*$M79*CE$9)</f>
        <v>0</v>
      </c>
      <c r="CF79" s="37"/>
      <c r="CG79" s="36">
        <f>(CF79/12*2*$E79*$G79*$I79*$N79*CG$9)+(CF79/12*10*$F79*$G79*$I79*$N79*CG$9)</f>
        <v>0</v>
      </c>
      <c r="CH79" s="36"/>
      <c r="CI79" s="36">
        <f>(CH79/12*2*$E79*$G79*$I79*$O79*$CI$9)+(CH79/12*10*$F79*$G79*$I79*$O79*$CI$9)</f>
        <v>0</v>
      </c>
      <c r="CJ79" s="36"/>
      <c r="CK79" s="36"/>
      <c r="CL79" s="36"/>
      <c r="CM79" s="36"/>
      <c r="CN79" s="41"/>
      <c r="CO79" s="41"/>
      <c r="CP79" s="42">
        <f t="shared" si="88"/>
        <v>1</v>
      </c>
      <c r="CQ79" s="42">
        <f t="shared" si="88"/>
        <v>74323.171999999991</v>
      </c>
    </row>
    <row r="80" spans="1:95" s="3" customFormat="1" ht="18.75" hidden="1" customHeight="1" x14ac:dyDescent="0.25">
      <c r="A80" s="54"/>
      <c r="B80" s="56">
        <v>53</v>
      </c>
      <c r="C80" s="55" t="s">
        <v>237</v>
      </c>
      <c r="D80" s="120" t="s">
        <v>238</v>
      </c>
      <c r="E80" s="110">
        <v>16026</v>
      </c>
      <c r="F80" s="110">
        <v>16828</v>
      </c>
      <c r="G80" s="33">
        <v>0.8</v>
      </c>
      <c r="H80" s="34"/>
      <c r="I80" s="35">
        <v>1</v>
      </c>
      <c r="J80" s="111"/>
      <c r="K80" s="35"/>
      <c r="L80" s="97">
        <v>1.4</v>
      </c>
      <c r="M80" s="97">
        <v>1.68</v>
      </c>
      <c r="N80" s="97">
        <v>2.23</v>
      </c>
      <c r="O80" s="97">
        <v>2.57</v>
      </c>
      <c r="P80" s="36">
        <v>3</v>
      </c>
      <c r="Q80" s="36">
        <f>SUM(P80*$F80*$G80*$I80*$L80*$Q$9)</f>
        <v>56542.080000000002</v>
      </c>
      <c r="R80" s="37"/>
      <c r="S80" s="36">
        <f>SUM(R80/12*2*$E80*$G80*$I80*$L80*S$9)+(R80/12*10*$F80*$G80*$I80*$L80*S$9)</f>
        <v>0</v>
      </c>
      <c r="T80" s="36"/>
      <c r="U80" s="36">
        <f>SUM(T80/12*2*$E80*$G80*$I80*$L80*U$9)+(T80/12*10*$F80*$G80*$I80*$L80*U$9)</f>
        <v>0</v>
      </c>
      <c r="V80" s="37"/>
      <c r="W80" s="36">
        <f>SUM(V80/12*2*$E80*$G80*$I80*$L80*$W$9)+(V80/12*10*$F80*$G80*$I80*$L80*$W$9)</f>
        <v>0</v>
      </c>
      <c r="X80" s="37"/>
      <c r="Y80" s="38">
        <f>SUM(X80/12*2*$E80*$G80*$I80*$L80*Y$9)+(X80/12*10*$F80*$G80*$I80*$L80*Y$9)</f>
        <v>0</v>
      </c>
      <c r="Z80" s="37"/>
      <c r="AA80" s="36"/>
      <c r="AB80" s="36">
        <v>12</v>
      </c>
      <c r="AC80" s="36">
        <f>(AB80/12*2*$E80*$G80*$I80*$L80)+(AB80/12*10*$F80*$G80*$I80*$L80)</f>
        <v>224371.83999999997</v>
      </c>
      <c r="AD80" s="39">
        <v>10</v>
      </c>
      <c r="AE80" s="36">
        <f>(AD80/12*2*$E80*$G80*$I80*$L80*AE$9)+(AD80/12*10*$F80*$G80*$I80*$L80*AE$9)</f>
        <v>186976.53333333333</v>
      </c>
      <c r="AF80" s="37">
        <v>0</v>
      </c>
      <c r="AG80" s="36">
        <f>(AF80/12*2*$E80*$G80*$I80*$M80*AG$9)+(AF80/12*10*$F80*$G80*$I80*$M80*AG$9)</f>
        <v>0</v>
      </c>
      <c r="AH80" s="58">
        <v>24</v>
      </c>
      <c r="AI80" s="36">
        <f>(AH80/12*2*$E80*$G80*$I80*$M80*$AI$9)+(AH80/12*10*$F80*$G80*$I80*$M80*$AI$9)</f>
        <v>538492.41599999997</v>
      </c>
      <c r="AJ80" s="36">
        <v>3</v>
      </c>
      <c r="AK80" s="36">
        <v>67850.490000000005</v>
      </c>
      <c r="AL80" s="37"/>
      <c r="AM80" s="36">
        <f>SUM(AL80/12*2*$E80*$G80*$I80*$L80*AM$9)+(AL80/12*10*$F80*$G80*$I80*$L80*AM$9)</f>
        <v>0</v>
      </c>
      <c r="AN80" s="37"/>
      <c r="AO80" s="36">
        <f>SUM(AN80/12*2*$E80*$G80*$I80*$L80*$AE$9)+(AN80/12*10*$F80*$G80*$I80*$L80*$AE$9)</f>
        <v>0</v>
      </c>
      <c r="AP80" s="37"/>
      <c r="AQ80" s="36"/>
      <c r="AR80" s="37"/>
      <c r="AS80" s="36">
        <f>SUM(AR80/12*2*$E80*$G80*$I80*$L80*AS$9)+(AR80/12*10*$F80*$G80*$I80*$L80*AS$9)</f>
        <v>0</v>
      </c>
      <c r="AT80" s="37"/>
      <c r="AU80" s="36">
        <f>SUM(AT80/12*2*$E80*$G80*$I80*$L80*$AI$9)+(AT80/12*10*$F80*$G80*$I80*$L80*$AI$9)</f>
        <v>0</v>
      </c>
      <c r="AV80" s="36">
        <v>8</v>
      </c>
      <c r="AW80" s="36">
        <f>SUM(AV80/12*2*$E80*$G80*$I80*$L80*AW$9)+(AV80/12*10*$F80*$G80*$I80*$L80*AW$9)</f>
        <v>149581.22666666665</v>
      </c>
      <c r="AX80" s="37"/>
      <c r="AY80" s="36">
        <f>SUM(AX80/12*2*$E80*$G80*$I80*$L80*AY$9)+(AX80/12*10*$F80*$G80*$I80*$L80*AY$9)</f>
        <v>0</v>
      </c>
      <c r="AZ80" s="37"/>
      <c r="BA80" s="36">
        <f>SUM(AZ80/12*2*$E80*$G80*$I80*$L80*BA$9)+(AZ80/12*10*$F80*$G80*$I80*$L80*BA$9)</f>
        <v>0</v>
      </c>
      <c r="BB80" s="36"/>
      <c r="BC80" s="36">
        <f>SUM(BB80/12*2*$E80*$G80*$I80*$L80*BC$9)+(BB80/12*10*$F80*$G80*$I80*$L80*BC$9)</f>
        <v>0</v>
      </c>
      <c r="BD80" s="36">
        <v>12</v>
      </c>
      <c r="BE80" s="36">
        <f>SUM(BD80/12*2*$E80*$G80*$I80*$L80*BE$9)+(BD80/12*10*$F80*$G80*$I80*$L80*BE$9)</f>
        <v>224371.83999999997</v>
      </c>
      <c r="BF80" s="37">
        <v>24</v>
      </c>
      <c r="BG80" s="39">
        <f>(BF80/12*2*$E80*$G80*$I80*$M80*BG$9)+(BF80/12*10*$F80*$G80*$I80*$M80*BG$9)</f>
        <v>538492.41599999997</v>
      </c>
      <c r="BH80" s="60"/>
      <c r="BI80" s="36">
        <f>(BH80/12*2*$E80*$G80*$I80*$M80*BI$9)+(BH80/12*10*$F80*$G80*$I80*$M80*BI$9)</f>
        <v>0</v>
      </c>
      <c r="BJ80" s="37"/>
      <c r="BK80" s="36">
        <f>(BJ80/12*2*$E80*$G80*$I80*$M80*BK$9)+(BJ80/12*10*$F80*$G80*$I80*$M80*BK$9)</f>
        <v>0</v>
      </c>
      <c r="BL80" s="58">
        <v>1</v>
      </c>
      <c r="BM80" s="36">
        <f>(BL80/12*2*$E80*$G80*$I80*$M80*BM$9)+(BL80/12*10*$F80*$G80*$I80*$M80*BM$9)</f>
        <v>22437.183999999997</v>
      </c>
      <c r="BN80" s="36"/>
      <c r="BO80" s="36">
        <f>(BN80/12*10*$F80*$G80*$I80*$M80*BO$9)</f>
        <v>0</v>
      </c>
      <c r="BP80" s="59"/>
      <c r="BQ80" s="36"/>
      <c r="BR80" s="58">
        <v>25</v>
      </c>
      <c r="BS80" s="36">
        <f>(BR80/12*10*$F80*$G80*$I80*$M80*BS$9)</f>
        <v>471184</v>
      </c>
      <c r="BT80" s="37"/>
      <c r="BU80" s="36">
        <f>(BT80/12*2*$E80*$G80*$I80*$M80*BU$9)+(BT80/12*10*$F80*$G80*$I80*$M80*BU$9)</f>
        <v>0</v>
      </c>
      <c r="BV80" s="36">
        <v>10</v>
      </c>
      <c r="BW80" s="36">
        <f>(BV80/12*2*$E80*$G80*$I80*$M80*BW$9)+(BV80/12*10*$F80*$G80*$I80*$M80*BW$9)</f>
        <v>224371.84000000003</v>
      </c>
      <c r="BX80" s="36">
        <v>3</v>
      </c>
      <c r="BY80" s="36">
        <f>(BX80/12*2*$E80*$G80*$I80*$M80*BY$9)+(BX80/12*10*$F80*$G80*$I80*$M80*BY$9)</f>
        <v>67311.551999999996</v>
      </c>
      <c r="BZ80" s="37"/>
      <c r="CA80" s="36">
        <f>(BZ80/12*2*$E80*$G80*$I80*$M80*CA$9)+(BZ80/12*10*$F80*$G80*$I80*$M80*CA$9)</f>
        <v>0</v>
      </c>
      <c r="CB80" s="36">
        <v>10</v>
      </c>
      <c r="CC80" s="36">
        <v>22616.83</v>
      </c>
      <c r="CD80" s="36">
        <v>3</v>
      </c>
      <c r="CE80" s="36">
        <f>(CD80/12*2*$E80*$G80*$I80*$M80*CE$9)+(CD80/12*10*$F80*$G80*$I80*$M80*CE$9)</f>
        <v>67311.551999999996</v>
      </c>
      <c r="CF80" s="58">
        <v>10</v>
      </c>
      <c r="CG80" s="36">
        <f>(CF80/12*2*$E80*$G80*$I80*$N80*CG$9)+(CF80/12*10*$F80*$G80*$I80*$N80*CG$9)</f>
        <v>297826.90666666673</v>
      </c>
      <c r="CH80" s="36">
        <v>15</v>
      </c>
      <c r="CI80" s="36">
        <f>(CH80/12*2*$E80*$G80*$I80*$O80*$CI$9)+(CH80/12*10*$F80*$G80*$I80*$O80*$CI$9)</f>
        <v>514853.24</v>
      </c>
      <c r="CJ80" s="36"/>
      <c r="CK80" s="36"/>
      <c r="CL80" s="36"/>
      <c r="CM80" s="36"/>
      <c r="CN80" s="41"/>
      <c r="CO80" s="41"/>
      <c r="CP80" s="42">
        <f t="shared" si="88"/>
        <v>173</v>
      </c>
      <c r="CQ80" s="42">
        <f t="shared" si="88"/>
        <v>3674591.9466666672</v>
      </c>
    </row>
    <row r="81" spans="1:139" ht="18.75" hidden="1" x14ac:dyDescent="0.25">
      <c r="A81" s="124">
        <v>19</v>
      </c>
      <c r="B81" s="124"/>
      <c r="C81" s="125" t="s">
        <v>239</v>
      </c>
      <c r="D81" s="141" t="s">
        <v>240</v>
      </c>
      <c r="E81" s="110">
        <v>16026</v>
      </c>
      <c r="F81" s="134">
        <v>16828</v>
      </c>
      <c r="G81" s="138">
        <v>6.11</v>
      </c>
      <c r="H81" s="136"/>
      <c r="I81" s="128"/>
      <c r="J81" s="129"/>
      <c r="K81" s="29"/>
      <c r="L81" s="97">
        <v>1.4</v>
      </c>
      <c r="M81" s="97">
        <v>1.68</v>
      </c>
      <c r="N81" s="97">
        <v>2.23</v>
      </c>
      <c r="O81" s="97">
        <v>2.57</v>
      </c>
      <c r="P81" s="139">
        <f>SUM(P82:P170)</f>
        <v>152</v>
      </c>
      <c r="Q81" s="139">
        <f t="shared" ref="Q81:CB81" si="89">SUM(Q82:Q170)</f>
        <v>18496341.139777865</v>
      </c>
      <c r="R81" s="139">
        <f t="shared" si="89"/>
        <v>0</v>
      </c>
      <c r="S81" s="139">
        <f t="shared" si="89"/>
        <v>0</v>
      </c>
      <c r="T81" s="139">
        <f t="shared" si="89"/>
        <v>29</v>
      </c>
      <c r="U81" s="139">
        <f t="shared" si="89"/>
        <v>582166.7418981333</v>
      </c>
      <c r="V81" s="139">
        <f t="shared" si="89"/>
        <v>3295</v>
      </c>
      <c r="W81" s="139">
        <f t="shared" si="89"/>
        <v>611757997.82973254</v>
      </c>
      <c r="X81" s="139">
        <f t="shared" si="89"/>
        <v>0</v>
      </c>
      <c r="Y81" s="139">
        <f t="shared" si="89"/>
        <v>0</v>
      </c>
      <c r="Z81" s="139">
        <f t="shared" si="89"/>
        <v>0</v>
      </c>
      <c r="AA81" s="139">
        <f t="shared" si="89"/>
        <v>0</v>
      </c>
      <c r="AB81" s="139">
        <f t="shared" si="89"/>
        <v>0</v>
      </c>
      <c r="AC81" s="139">
        <f t="shared" si="89"/>
        <v>0</v>
      </c>
      <c r="AD81" s="139">
        <f t="shared" si="89"/>
        <v>0</v>
      </c>
      <c r="AE81" s="139">
        <f t="shared" si="89"/>
        <v>0</v>
      </c>
      <c r="AF81" s="139">
        <f t="shared" si="89"/>
        <v>1102</v>
      </c>
      <c r="AG81" s="139">
        <f t="shared" si="89"/>
        <v>280245007.72866744</v>
      </c>
      <c r="AH81" s="139">
        <f>SUM(AH82:AH170)</f>
        <v>0</v>
      </c>
      <c r="AI81" s="139">
        <f t="shared" si="89"/>
        <v>0</v>
      </c>
      <c r="AJ81" s="139">
        <v>0</v>
      </c>
      <c r="AK81" s="139">
        <v>0</v>
      </c>
      <c r="AL81" s="139">
        <f t="shared" si="89"/>
        <v>0</v>
      </c>
      <c r="AM81" s="139">
        <f t="shared" si="89"/>
        <v>0</v>
      </c>
      <c r="AN81" s="139">
        <f t="shared" si="89"/>
        <v>0</v>
      </c>
      <c r="AO81" s="139">
        <f t="shared" si="89"/>
        <v>0</v>
      </c>
      <c r="AP81" s="139">
        <f t="shared" si="89"/>
        <v>0</v>
      </c>
      <c r="AQ81" s="139">
        <f t="shared" si="89"/>
        <v>0</v>
      </c>
      <c r="AR81" s="139">
        <f t="shared" si="89"/>
        <v>0</v>
      </c>
      <c r="AS81" s="139">
        <f t="shared" si="89"/>
        <v>0</v>
      </c>
      <c r="AT81" s="139">
        <f t="shared" si="89"/>
        <v>0</v>
      </c>
      <c r="AU81" s="139">
        <f t="shared" si="89"/>
        <v>0</v>
      </c>
      <c r="AV81" s="139">
        <f t="shared" si="89"/>
        <v>0</v>
      </c>
      <c r="AW81" s="139">
        <f t="shared" si="89"/>
        <v>0</v>
      </c>
      <c r="AX81" s="139">
        <f t="shared" si="89"/>
        <v>0</v>
      </c>
      <c r="AY81" s="139">
        <f t="shared" si="89"/>
        <v>0</v>
      </c>
      <c r="AZ81" s="139">
        <f t="shared" si="89"/>
        <v>0</v>
      </c>
      <c r="BA81" s="139">
        <f t="shared" si="89"/>
        <v>0</v>
      </c>
      <c r="BB81" s="139">
        <f t="shared" si="89"/>
        <v>0</v>
      </c>
      <c r="BC81" s="139">
        <f t="shared" si="89"/>
        <v>0</v>
      </c>
      <c r="BD81" s="139">
        <f t="shared" si="89"/>
        <v>0</v>
      </c>
      <c r="BE81" s="139">
        <f t="shared" si="89"/>
        <v>0</v>
      </c>
      <c r="BF81" s="139">
        <f t="shared" si="89"/>
        <v>0</v>
      </c>
      <c r="BG81" s="139">
        <f t="shared" si="89"/>
        <v>0</v>
      </c>
      <c r="BH81" s="139">
        <f t="shared" si="89"/>
        <v>0</v>
      </c>
      <c r="BI81" s="139">
        <f t="shared" si="89"/>
        <v>0</v>
      </c>
      <c r="BJ81" s="139">
        <f t="shared" si="89"/>
        <v>0</v>
      </c>
      <c r="BK81" s="139">
        <f t="shared" si="89"/>
        <v>0</v>
      </c>
      <c r="BL81" s="139">
        <f t="shared" si="89"/>
        <v>0</v>
      </c>
      <c r="BM81" s="139">
        <f t="shared" si="89"/>
        <v>0</v>
      </c>
      <c r="BN81" s="139">
        <f t="shared" si="89"/>
        <v>12</v>
      </c>
      <c r="BO81" s="139">
        <f t="shared" si="89"/>
        <v>68894.882067200015</v>
      </c>
      <c r="BP81" s="139">
        <f t="shared" si="89"/>
        <v>0</v>
      </c>
      <c r="BQ81" s="139">
        <f t="shared" si="89"/>
        <v>0</v>
      </c>
      <c r="BR81" s="139">
        <f t="shared" si="89"/>
        <v>0</v>
      </c>
      <c r="BS81" s="139">
        <f t="shared" si="89"/>
        <v>0</v>
      </c>
      <c r="BT81" s="139">
        <f t="shared" si="89"/>
        <v>0</v>
      </c>
      <c r="BU81" s="139">
        <f t="shared" si="89"/>
        <v>0</v>
      </c>
      <c r="BV81" s="139">
        <f t="shared" si="89"/>
        <v>0</v>
      </c>
      <c r="BW81" s="139">
        <f t="shared" si="89"/>
        <v>0</v>
      </c>
      <c r="BX81" s="139">
        <f t="shared" si="89"/>
        <v>0</v>
      </c>
      <c r="BY81" s="139">
        <f t="shared" si="89"/>
        <v>0</v>
      </c>
      <c r="BZ81" s="139">
        <f t="shared" si="89"/>
        <v>0</v>
      </c>
      <c r="CA81" s="139">
        <f t="shared" si="89"/>
        <v>0</v>
      </c>
      <c r="CB81" s="139">
        <f t="shared" si="89"/>
        <v>0</v>
      </c>
      <c r="CC81" s="139">
        <f t="shared" ref="CC81:CP81" si="90">SUM(CC82:CC170)</f>
        <v>0</v>
      </c>
      <c r="CD81" s="139">
        <f t="shared" si="90"/>
        <v>0</v>
      </c>
      <c r="CE81" s="139">
        <f t="shared" si="90"/>
        <v>0</v>
      </c>
      <c r="CF81" s="139">
        <f t="shared" si="90"/>
        <v>0</v>
      </c>
      <c r="CG81" s="139">
        <f t="shared" si="90"/>
        <v>0</v>
      </c>
      <c r="CH81" s="139">
        <f t="shared" si="90"/>
        <v>18</v>
      </c>
      <c r="CI81" s="139">
        <f t="shared" si="90"/>
        <v>296845.08020243997</v>
      </c>
      <c r="CJ81" s="139">
        <f t="shared" si="90"/>
        <v>0</v>
      </c>
      <c r="CK81" s="139">
        <f t="shared" si="90"/>
        <v>0</v>
      </c>
      <c r="CL81" s="139">
        <f t="shared" si="90"/>
        <v>0</v>
      </c>
      <c r="CM81" s="139">
        <f t="shared" si="90"/>
        <v>0</v>
      </c>
      <c r="CN81" s="139">
        <f t="shared" si="90"/>
        <v>0</v>
      </c>
      <c r="CO81" s="139">
        <f t="shared" si="90"/>
        <v>0</v>
      </c>
      <c r="CP81" s="139">
        <f t="shared" si="90"/>
        <v>4608</v>
      </c>
      <c r="CQ81" s="139">
        <f>SUM(CQ82:CQ170)</f>
        <v>911447253.40234578</v>
      </c>
    </row>
    <row r="82" spans="1:139" s="3" customFormat="1" ht="30" hidden="1" customHeight="1" x14ac:dyDescent="0.25">
      <c r="A82" s="54"/>
      <c r="B82" s="54">
        <v>54</v>
      </c>
      <c r="C82" s="55" t="s">
        <v>241</v>
      </c>
      <c r="D82" s="64" t="s">
        <v>242</v>
      </c>
      <c r="E82" s="110">
        <v>16026</v>
      </c>
      <c r="F82" s="110">
        <v>16828</v>
      </c>
      <c r="G82" s="33">
        <v>2.35</v>
      </c>
      <c r="H82" s="34"/>
      <c r="I82" s="35">
        <v>1</v>
      </c>
      <c r="J82" s="111"/>
      <c r="K82" s="35"/>
      <c r="L82" s="65">
        <v>1.4</v>
      </c>
      <c r="M82" s="65">
        <v>1.68</v>
      </c>
      <c r="N82" s="65">
        <v>2.23</v>
      </c>
      <c r="O82" s="65">
        <v>2.57</v>
      </c>
      <c r="P82" s="36"/>
      <c r="Q82" s="36">
        <f>SUM(P82/12*2*$E82*$G82*$I82*$L82*$Q$9)+(P82/12*10*$F82*$G82*$I82*$L82*$Q$9)</f>
        <v>0</v>
      </c>
      <c r="R82" s="37"/>
      <c r="S82" s="36">
        <f>SUM(R82/12*2*$E82*$G82*$I82*$L82*S$9)+(R82/12*10*$F82*$G82*$I82*$L82*S$9)</f>
        <v>0</v>
      </c>
      <c r="T82" s="36"/>
      <c r="U82" s="36">
        <f>SUM(T82/12*2*$E82*$G82*$I82*$L82*U$9)+(T82/12*10*$F82*$G82*$I82*$L82*U$9)</f>
        <v>0</v>
      </c>
      <c r="V82" s="36">
        <v>0</v>
      </c>
      <c r="W82" s="36">
        <f>SUM(V82/12*2*$E82*$G82*$I82*$L82*$W$9)+(V82/12*10*$F82*$G82*$I82*$L82*$W$9)</f>
        <v>0</v>
      </c>
      <c r="X82" s="37"/>
      <c r="Y82" s="38">
        <f>SUM(X82/12*2*$E82*$G82*$I82*$L82*Y$9)+(X82/12*10*$F82*$G82*$I82*$L82*Y$9)</f>
        <v>0</v>
      </c>
      <c r="Z82" s="37"/>
      <c r="AA82" s="36"/>
      <c r="AB82" s="37"/>
      <c r="AC82" s="36">
        <f>(AB82/12*2*$E82*$G82*$I82*$L82)+(AB82/12*10*$F82*$G82*$I82*$L82)</f>
        <v>0</v>
      </c>
      <c r="AD82" s="37">
        <v>0</v>
      </c>
      <c r="AE82" s="36">
        <f>(AD82/12*2*$E82*$G82*$I82*$L82*AE$9)+(AD82/12*10*$F82*$G82*$I82*$L82*AE$9)</f>
        <v>0</v>
      </c>
      <c r="AF82" s="37">
        <v>0</v>
      </c>
      <c r="AG82" s="36">
        <f>(AF82/12*2*$E82*$G82*$I82*$M82*AG$9)+(AF82/12*10*$F82*$G82*$I82*$M82*AG$9)</f>
        <v>0</v>
      </c>
      <c r="AH82" s="37"/>
      <c r="AI82" s="36">
        <f>(AH82/12*2*$E82*$G82*$I82*$M82*$AI$9)+(AH82/12*10*$F82*$G82*$I82*$M82*$AI$9)</f>
        <v>0</v>
      </c>
      <c r="AJ82" s="36">
        <v>0</v>
      </c>
      <c r="AK82" s="36">
        <v>0</v>
      </c>
      <c r="AL82" s="37"/>
      <c r="AM82" s="36">
        <f>SUM(AL82/12*2*$E82*$G82*$I82*$L82*AM$9)+(AL82/12*10*$F82*$G82*$I82*$L82*AM$9)</f>
        <v>0</v>
      </c>
      <c r="AN82" s="37"/>
      <c r="AO82" s="36">
        <f>SUM(AN82/12*2*$E82*$G82*$I82*$L82*$AE$9)+(AN82/12*10*$F82*$G82*$I82*$L82*$AE$9)</f>
        <v>0</v>
      </c>
      <c r="AP82" s="37"/>
      <c r="AQ82" s="36"/>
      <c r="AR82" s="37"/>
      <c r="AS82" s="36">
        <f>SUM(AR82/12*2*$E82*$G82*$I82*$L82*AS$9)+(AR82/12*10*$F82*$G82*$I82*$L82*AS$9)</f>
        <v>0</v>
      </c>
      <c r="AT82" s="37"/>
      <c r="AU82" s="36">
        <f>SUM(AT82/12*2*$E82*$G82*$I82*$L82*$AI$9)+(AT82/12*10*$F82*$G82*$I82*$L82*$AI$9)</f>
        <v>0</v>
      </c>
      <c r="AV82" s="37"/>
      <c r="AW82" s="36">
        <f>SUM(AV82/12*2*$E82*$G82*$I82*$L82*AW$9)+(AV82/12*10*$F82*$G82*$I82*$L82*AW$9)</f>
        <v>0</v>
      </c>
      <c r="AX82" s="37"/>
      <c r="AY82" s="36">
        <f>SUM(AX82/12*2*$E82*$G82*$I82*$L82*AY$9)+(AX82/12*10*$F82*$G82*$I82*$L82*AY$9)</f>
        <v>0</v>
      </c>
      <c r="AZ82" s="37"/>
      <c r="BA82" s="36">
        <f>SUM(AZ82/12*2*$E82*$G82*$I82*$L82*BA$9)+(AZ82/12*10*$F82*$G82*$I82*$L82*BA$9)</f>
        <v>0</v>
      </c>
      <c r="BB82" s="37"/>
      <c r="BC82" s="36">
        <f>SUM(BB82/12*2*$E82*$G82*$I82*$L82*BC$9)+(BB82/12*10*$F82*$G82*$I82*$L82*BC$9)</f>
        <v>0</v>
      </c>
      <c r="BD82" s="37"/>
      <c r="BE82" s="36">
        <f>SUM(BD82/12*2*$E82*$G82*$I82*$L82*BE$9)+(BD82/12*10*$F82*$G82*$I82*$L82*BE$9)</f>
        <v>0</v>
      </c>
      <c r="BF82" s="37"/>
      <c r="BG82" s="39">
        <f>(BF82/12*2*$E82*$G82*$I82*$M82*BG$9)+(BF82/12*10*$F82*$G82*$I82*$M82*BG$9)</f>
        <v>0</v>
      </c>
      <c r="BH82" s="60"/>
      <c r="BI82" s="36">
        <f>(BH82/12*2*$E82*$G82*$I82*$M82*BI$9)+(BH82/12*10*$F82*$G82*$I82*$M82*BI$9)</f>
        <v>0</v>
      </c>
      <c r="BJ82" s="37"/>
      <c r="BK82" s="36">
        <f>(BJ82/12*2*$E82*$G82*$I82*$M82*BK$9)+(BJ82/12*10*$F82*$G82*$I82*$M82*BK$9)</f>
        <v>0</v>
      </c>
      <c r="BL82" s="37"/>
      <c r="BM82" s="36">
        <f>(BL82/12*2*$E82*$G82*$I82*$M82*BM$9)+(BL82/12*10*$F82*$G82*$I82*$M82*BM$9)</f>
        <v>0</v>
      </c>
      <c r="BN82" s="37"/>
      <c r="BO82" s="36">
        <f>(BN82/12*10*$F82*$G82*$I82*$M82*BO$9)</f>
        <v>0</v>
      </c>
      <c r="BP82" s="39"/>
      <c r="BQ82" s="36"/>
      <c r="BR82" s="37"/>
      <c r="BS82" s="36">
        <f>(BR82/12*10*$F82*$G82*$I82*$M82*BS$9)</f>
        <v>0</v>
      </c>
      <c r="BT82" s="37"/>
      <c r="BU82" s="36">
        <f>(BT82/12*2*$E82*$G82*$I82*$M82*BU$9)+(BT82/12*10*$F82*$G82*$I82*$M82*BU$9)</f>
        <v>0</v>
      </c>
      <c r="BV82" s="36"/>
      <c r="BW82" s="36">
        <f>(BV82/12*2*$E82*$G82*$I82*$M82*BW$9)+(BV82/12*10*$F82*$G82*$I82*$M82*BW$9)</f>
        <v>0</v>
      </c>
      <c r="BX82" s="37"/>
      <c r="BY82" s="36">
        <f>(BX82/12*2*$E82*$G82*$I82*$M82*BY$9)+(BX82/12*10*$F82*$G82*$I82*$M82*BY$9)</f>
        <v>0</v>
      </c>
      <c r="BZ82" s="37"/>
      <c r="CA82" s="36">
        <f>(BZ82/12*2*$E82*$G82*$I82*$M82*CA$9)+(BZ82/12*10*$F82*$G82*$I82*$M82*CA$9)</f>
        <v>0</v>
      </c>
      <c r="CB82" s="37"/>
      <c r="CC82" s="36">
        <f>(CB82/12*2*$E82*$G82*$I82*$M82*CC$9)+(CB82/12*10*$F82*$G82*$I82*$M82*CC$9)</f>
        <v>0</v>
      </c>
      <c r="CD82" s="37"/>
      <c r="CE82" s="36">
        <f>(CD82/12*2*$E82*$G82*$I82*$M82*CE$9)+(CD82/12*10*$F82*$G82*$I82*$M82*CE$9)</f>
        <v>0</v>
      </c>
      <c r="CF82" s="37"/>
      <c r="CG82" s="36">
        <f>(CF82/12*2*$E82*$G82*$I82*$N82*CG$9)+(CF82/12*10*$F82*$G82*$I82*$N82*CG$9)</f>
        <v>0</v>
      </c>
      <c r="CH82" s="37"/>
      <c r="CI82" s="36">
        <f>(CH82/12*2*$E82*$G82*$I82*$O82*$CI$9)+(CH82/12*10*$F82*$G82*$I82*$O82*$CI$9)</f>
        <v>0</v>
      </c>
      <c r="CJ82" s="36"/>
      <c r="CK82" s="36"/>
      <c r="CL82" s="36"/>
      <c r="CM82" s="36"/>
      <c r="CN82" s="36"/>
      <c r="CO82" s="36"/>
      <c r="CP82" s="42">
        <f t="shared" ref="CP82:CQ145" si="91">SUM(R82+P82+T82+V82+AB82+Z82+X82+AF82+AD82+AH82+AJ82+BF82+BJ82+AL82+AT82+AV82+BT82+BV82+BR82+BX82+BZ82+BN82+AN82+AP82+AR82+BH82+BL82+AX82+AZ82+BB82+BD82+BP82+CB82+CD82+CF82+CH82+CJ82+CL82)</f>
        <v>0</v>
      </c>
      <c r="CQ82" s="42">
        <f t="shared" si="91"/>
        <v>0</v>
      </c>
      <c r="EH82" s="3">
        <f>EF38</f>
        <v>0</v>
      </c>
      <c r="EI82" s="3">
        <f>EG38</f>
        <v>0</v>
      </c>
    </row>
    <row r="83" spans="1:139" s="3" customFormat="1" ht="30" hidden="1" customHeight="1" x14ac:dyDescent="0.25">
      <c r="A83" s="54"/>
      <c r="B83" s="54">
        <v>55</v>
      </c>
      <c r="C83" s="55" t="s">
        <v>243</v>
      </c>
      <c r="D83" s="64" t="s">
        <v>244</v>
      </c>
      <c r="E83" s="110">
        <v>16026</v>
      </c>
      <c r="F83" s="110">
        <v>16828</v>
      </c>
      <c r="G83" s="33">
        <v>2.48</v>
      </c>
      <c r="H83" s="34"/>
      <c r="I83" s="35">
        <v>1</v>
      </c>
      <c r="J83" s="111"/>
      <c r="K83" s="35"/>
      <c r="L83" s="65">
        <v>1.4</v>
      </c>
      <c r="M83" s="65">
        <v>1.68</v>
      </c>
      <c r="N83" s="65">
        <v>2.23</v>
      </c>
      <c r="O83" s="65">
        <v>2.57</v>
      </c>
      <c r="P83" s="36"/>
      <c r="Q83" s="36">
        <f>SUM(P83/12*2*$E83*$G83*$I83*$L83*$Q$9)+(P83/12*10*$F83*$G83*$I83*$L83*$Q$9)</f>
        <v>0</v>
      </c>
      <c r="R83" s="37"/>
      <c r="S83" s="36">
        <f>SUM(R83/12*2*$E83*$G83*$I83*$L83*S$9)+(R83/12*10*$F83*$G83*$I83*$L83*S$9)</f>
        <v>0</v>
      </c>
      <c r="T83" s="36"/>
      <c r="U83" s="36">
        <f>SUM(T83/12*2*$E83*$G83*$I83*$L83*U$9)+(T83/12*10*$F83*$G83*$I83*$L83*U$9)</f>
        <v>0</v>
      </c>
      <c r="V83" s="36">
        <v>0</v>
      </c>
      <c r="W83" s="36">
        <f>SUM(V83/12*2*$E83*$G83*$I83*$L83*$W$9)+(V83/12*10*$F83*$G83*$I83*$L83*$W$9)</f>
        <v>0</v>
      </c>
      <c r="X83" s="37"/>
      <c r="Y83" s="38">
        <f>SUM(X83/12*2*$E83*$G83*$I83*$L83*Y$9)+(X83/12*10*$F83*$G83*$I83*$L83*Y$9)</f>
        <v>0</v>
      </c>
      <c r="Z83" s="37"/>
      <c r="AA83" s="36"/>
      <c r="AB83" s="37"/>
      <c r="AC83" s="36">
        <f>(AB83/12*2*$E83*$G83*$I83*$L83)+(AB83/12*10*$F83*$G83*$I83*$L83)</f>
        <v>0</v>
      </c>
      <c r="AD83" s="37">
        <v>0</v>
      </c>
      <c r="AE83" s="36">
        <f>(AD83/12*2*$E83*$G83*$I83*$L83*AE$9)+(AD83/12*10*$F83*$G83*$I83*$L83*AE$9)</f>
        <v>0</v>
      </c>
      <c r="AF83" s="37">
        <v>0</v>
      </c>
      <c r="AG83" s="36">
        <f>(AF83/12*2*$E83*$G83*$I83*$M83*AG$9)+(AF83/12*10*$F83*$G83*$I83*$M83*AG$9)</f>
        <v>0</v>
      </c>
      <c r="AH83" s="37"/>
      <c r="AI83" s="36">
        <f>(AH83/12*2*$E83*$G83*$I83*$M83*$AI$9)+(AH83/12*10*$F83*$G83*$I83*$M83*$AI$9)</f>
        <v>0</v>
      </c>
      <c r="AJ83" s="36">
        <v>0</v>
      </c>
      <c r="AK83" s="36">
        <v>0</v>
      </c>
      <c r="AL83" s="37"/>
      <c r="AM83" s="36">
        <f>SUM(AL83/12*2*$E83*$G83*$I83*$L83*AM$9)+(AL83/12*10*$F83*$G83*$I83*$L83*AM$9)</f>
        <v>0</v>
      </c>
      <c r="AN83" s="37"/>
      <c r="AO83" s="36">
        <f>SUM(AN83/12*2*$E83*$G83*$I83*$L83*$AE$9)+(AN83/12*10*$F83*$G83*$I83*$L83*$AE$9)</f>
        <v>0</v>
      </c>
      <c r="AP83" s="37"/>
      <c r="AQ83" s="36"/>
      <c r="AR83" s="37"/>
      <c r="AS83" s="36">
        <f>SUM(AR83/12*2*$E83*$G83*$I83*$L83*AS$9)+(AR83/12*10*$F83*$G83*$I83*$L83*AS$9)</f>
        <v>0</v>
      </c>
      <c r="AT83" s="37"/>
      <c r="AU83" s="36">
        <f>SUM(AT83/12*2*$E83*$G83*$I83*$L83*$AI$9)+(AT83/12*10*$F83*$G83*$I83*$L83*$AI$9)</f>
        <v>0</v>
      </c>
      <c r="AV83" s="37"/>
      <c r="AW83" s="36">
        <f>SUM(AV83/12*2*$E83*$G83*$I83*$L83*AW$9)+(AV83/12*10*$F83*$G83*$I83*$L83*AW$9)</f>
        <v>0</v>
      </c>
      <c r="AX83" s="37"/>
      <c r="AY83" s="36">
        <f>SUM(AX83/12*2*$E83*$G83*$I83*$L83*AY$9)+(AX83/12*10*$F83*$G83*$I83*$L83*AY$9)</f>
        <v>0</v>
      </c>
      <c r="AZ83" s="37"/>
      <c r="BA83" s="36">
        <f>SUM(AZ83/12*2*$E83*$G83*$I83*$L83*BA$9)+(AZ83/12*10*$F83*$G83*$I83*$L83*BA$9)</f>
        <v>0</v>
      </c>
      <c r="BB83" s="37"/>
      <c r="BC83" s="36">
        <f>SUM(BB83/12*2*$E83*$G83*$I83*$L83*BC$9)+(BB83/12*10*$F83*$G83*$I83*$L83*BC$9)</f>
        <v>0</v>
      </c>
      <c r="BD83" s="37"/>
      <c r="BE83" s="36">
        <f>SUM(BD83/12*2*$E83*$G83*$I83*$L83*BE$9)+(BD83/12*10*$F83*$G83*$I83*$L83*BE$9)</f>
        <v>0</v>
      </c>
      <c r="BF83" s="37"/>
      <c r="BG83" s="39">
        <f>(BF83/12*2*$E83*$G83*$I83*$M83*BG$9)+(BF83/12*10*$F83*$G83*$I83*$M83*BG$9)</f>
        <v>0</v>
      </c>
      <c r="BH83" s="60"/>
      <c r="BI83" s="36">
        <f>(BH83/12*2*$E83*$G83*$I83*$M83*BI$9)+(BH83/12*10*$F83*$G83*$I83*$M83*BI$9)</f>
        <v>0</v>
      </c>
      <c r="BJ83" s="37"/>
      <c r="BK83" s="36">
        <f>(BJ83/12*2*$E83*$G83*$I83*$M83*BK$9)+(BJ83/12*10*$F83*$G83*$I83*$M83*BK$9)</f>
        <v>0</v>
      </c>
      <c r="BL83" s="37"/>
      <c r="BM83" s="36">
        <f>(BL83/12*2*$E83*$G83*$I83*$M83*BM$9)+(BL83/12*10*$F83*$G83*$I83*$M83*BM$9)</f>
        <v>0</v>
      </c>
      <c r="BN83" s="37"/>
      <c r="BO83" s="36">
        <f>(BN83/12*10*$F83*$G83*$I83*$M83*BO$9)</f>
        <v>0</v>
      </c>
      <c r="BP83" s="39"/>
      <c r="BQ83" s="36"/>
      <c r="BR83" s="37"/>
      <c r="BS83" s="36">
        <f>(BR83/12*10*$F83*$G83*$I83*$M83*BS$9)</f>
        <v>0</v>
      </c>
      <c r="BT83" s="37"/>
      <c r="BU83" s="36">
        <f>(BT83/12*2*$E83*$G83*$I83*$M83*BU$9)+(BT83/12*10*$F83*$G83*$I83*$M83*BU$9)</f>
        <v>0</v>
      </c>
      <c r="BV83" s="36"/>
      <c r="BW83" s="36">
        <f>(BV83/12*2*$E83*$G83*$I83*$M83*BW$9)+(BV83/12*10*$F83*$G83*$I83*$M83*BW$9)</f>
        <v>0</v>
      </c>
      <c r="BX83" s="37"/>
      <c r="BY83" s="36">
        <f>(BX83/12*2*$E83*$G83*$I83*$M83*BY$9)+(BX83/12*10*$F83*$G83*$I83*$M83*BY$9)</f>
        <v>0</v>
      </c>
      <c r="BZ83" s="37"/>
      <c r="CA83" s="36">
        <f>(BZ83/12*2*$E83*$G83*$I83*$M83*CA$9)+(BZ83/12*10*$F83*$G83*$I83*$M83*CA$9)</f>
        <v>0</v>
      </c>
      <c r="CB83" s="37"/>
      <c r="CC83" s="36">
        <f>(CB83/12*2*$E83*$G83*$I83*$M83*CC$9)+(CB83/12*10*$F83*$G83*$I83*$M83*CC$9)</f>
        <v>0</v>
      </c>
      <c r="CD83" s="37"/>
      <c r="CE83" s="36">
        <f>(CD83/12*2*$E83*$G83*$I83*$M83*CE$9)+(CD83/12*10*$F83*$G83*$I83*$M83*CE$9)</f>
        <v>0</v>
      </c>
      <c r="CF83" s="37"/>
      <c r="CG83" s="36">
        <f>(CF83/12*2*$E83*$G83*$I83*$N83*CG$9)+(CF83/12*10*$F83*$G83*$I83*$N83*CG$9)</f>
        <v>0</v>
      </c>
      <c r="CH83" s="37"/>
      <c r="CI83" s="36">
        <f>(CH83/12*2*$E83*$G83*$I83*$O83*$CI$9)+(CH83/12*10*$F83*$G83*$I83*$O83*$CI$9)</f>
        <v>0</v>
      </c>
      <c r="CJ83" s="36"/>
      <c r="CK83" s="36"/>
      <c r="CL83" s="36"/>
      <c r="CM83" s="36"/>
      <c r="CN83" s="36"/>
      <c r="CO83" s="36"/>
      <c r="CP83" s="42">
        <f t="shared" si="91"/>
        <v>0</v>
      </c>
      <c r="CQ83" s="42">
        <f t="shared" si="91"/>
        <v>0</v>
      </c>
    </row>
    <row r="84" spans="1:139" s="3" customFormat="1" ht="45" hidden="1" customHeight="1" x14ac:dyDescent="0.25">
      <c r="A84" s="54"/>
      <c r="B84" s="54">
        <v>56</v>
      </c>
      <c r="C84" s="55" t="s">
        <v>245</v>
      </c>
      <c r="D84" s="70" t="s">
        <v>246</v>
      </c>
      <c r="E84" s="110">
        <v>16026</v>
      </c>
      <c r="F84" s="110">
        <v>16828</v>
      </c>
      <c r="G84" s="33">
        <v>2.17</v>
      </c>
      <c r="H84" s="34"/>
      <c r="I84" s="35">
        <v>1</v>
      </c>
      <c r="J84" s="111"/>
      <c r="K84" s="35"/>
      <c r="L84" s="65">
        <v>1.4</v>
      </c>
      <c r="M84" s="65">
        <v>1.68</v>
      </c>
      <c r="N84" s="65">
        <v>2.23</v>
      </c>
      <c r="O84" s="65">
        <v>2.57</v>
      </c>
      <c r="P84" s="36">
        <v>1</v>
      </c>
      <c r="Q84" s="36">
        <f>SUM(P84/12*2*$E84*$G84*$I84*$L84*$Q$9)+(P84/12*10*$F84*$G84*$I84*$L84*$Q$9)</f>
        <v>50717.384666666658</v>
      </c>
      <c r="R84" s="37"/>
      <c r="S84" s="36">
        <f>SUM(R84/12*2*$E84*$G84*$I84*$L84*S$9)+(R84/12*10*$F84*$G84*$I84*$L84*S$9)</f>
        <v>0</v>
      </c>
      <c r="T84" s="36"/>
      <c r="U84" s="36">
        <f>SUM(T84/12*2*$E84*$G84*$I84*$L84*U$9)+(T84/12*10*$F84*$G84*$I84*$L84*U$9)</f>
        <v>0</v>
      </c>
      <c r="V84" s="36">
        <v>1</v>
      </c>
      <c r="W84" s="36">
        <f>SUM(V84/12*2*$E84*$G84*$I84*$L84*$W$9)+(V84/12*10*$F84*$G84*$I84*$L84*$W$9)</f>
        <v>50717.384666666658</v>
      </c>
      <c r="X84" s="37"/>
      <c r="Y84" s="38">
        <f>SUM(X84/12*2*$E84*$G84*$I84*$L84*Y$9)+(X84/12*10*$F84*$G84*$I84*$L84*Y$9)</f>
        <v>0</v>
      </c>
      <c r="Z84" s="37"/>
      <c r="AA84" s="36"/>
      <c r="AB84" s="37"/>
      <c r="AC84" s="36">
        <f>(AB84/12*2*$E84*$G84*$I84*$L84)+(AB84/12*10*$F84*$G84*$I84*$L84)</f>
        <v>0</v>
      </c>
      <c r="AD84" s="37"/>
      <c r="AE84" s="36">
        <f>(AD84/12*2*$E84*$G84*$I84*$L84*AE$9)+(AD84/12*10*$F84*$G84*$I84*$L84*AE$9)</f>
        <v>0</v>
      </c>
      <c r="AF84" s="37"/>
      <c r="AG84" s="36">
        <f>(AF84/12*2*$E84*$G84*$I84*$M84*AG$9)+(AF84/12*10*$F84*$G84*$I84*$M84*AG$9)</f>
        <v>0</v>
      </c>
      <c r="AH84" s="37"/>
      <c r="AI84" s="36">
        <f>(AH84/12*2*$E84*$G84*$I84*$M84*$AI$9)+(AH84/12*10*$F84*$G84*$I84*$M84*$AI$9)</f>
        <v>0</v>
      </c>
      <c r="AJ84" s="36">
        <v>0</v>
      </c>
      <c r="AK84" s="36">
        <v>0</v>
      </c>
      <c r="AL84" s="37"/>
      <c r="AM84" s="36">
        <f>SUM(AL84/12*2*$E84*$G84*$I84*$L84*AM$9)+(AL84/12*10*$F84*$G84*$I84*$L84*AM$9)</f>
        <v>0</v>
      </c>
      <c r="AN84" s="37"/>
      <c r="AO84" s="36">
        <f>SUM(AN84/12*2*$E84*$G84*$I84*$L84*$AE$9)+(AN84/12*10*$F84*$G84*$I84*$L84*$AE$9)</f>
        <v>0</v>
      </c>
      <c r="AP84" s="37"/>
      <c r="AQ84" s="36"/>
      <c r="AR84" s="37"/>
      <c r="AS84" s="36">
        <f>SUM(AR84/12*2*$E84*$G84*$I84*$L84*AS$9)+(AR84/12*10*$F84*$G84*$I84*$L84*AS$9)</f>
        <v>0</v>
      </c>
      <c r="AT84" s="37"/>
      <c r="AU84" s="36">
        <f>SUM(AT84/12*2*$E84*$G84*$I84*$L84*$AI$9)+(AT84/12*10*$F84*$G84*$I84*$L84*$AI$9)</f>
        <v>0</v>
      </c>
      <c r="AV84" s="37"/>
      <c r="AW84" s="36">
        <f>SUM(AV84/12*2*$E84*$G84*$I84*$L84*AW$9)+(AV84/12*10*$F84*$G84*$I84*$L84*AW$9)</f>
        <v>0</v>
      </c>
      <c r="AX84" s="37"/>
      <c r="AY84" s="36">
        <f>SUM(AX84/12*2*$E84*$G84*$I84*$L84*AY$9)+(AX84/12*10*$F84*$G84*$I84*$L84*AY$9)</f>
        <v>0</v>
      </c>
      <c r="AZ84" s="37"/>
      <c r="BA84" s="36">
        <f>SUM(AZ84/12*2*$E84*$G84*$I84*$L84*BA$9)+(AZ84/12*10*$F84*$G84*$I84*$L84*BA$9)</f>
        <v>0</v>
      </c>
      <c r="BB84" s="37"/>
      <c r="BC84" s="36">
        <f>SUM(BB84/12*2*$E84*$G84*$I84*$L84*BC$9)+(BB84/12*10*$F84*$G84*$I84*$L84*BC$9)</f>
        <v>0</v>
      </c>
      <c r="BD84" s="37"/>
      <c r="BE84" s="36">
        <f>SUM(BD84/12*2*$E84*$G84*$I84*$L84*BE$9)+(BD84/12*10*$F84*$G84*$I84*$L84*BE$9)</f>
        <v>0</v>
      </c>
      <c r="BF84" s="37"/>
      <c r="BG84" s="39">
        <f>(BF84/12*2*$E84*$G84*$I84*$M84*BG$9)+(BF84/12*10*$F84*$G84*$I84*$M84*BG$9)</f>
        <v>0</v>
      </c>
      <c r="BH84" s="60"/>
      <c r="BI84" s="36">
        <f>(BH84/12*2*$E84*$G84*$I84*$M84*BI$9)+(BH84/12*10*$F84*$G84*$I84*$M84*BI$9)</f>
        <v>0</v>
      </c>
      <c r="BJ84" s="37"/>
      <c r="BK84" s="36">
        <f>(BJ84/12*2*$E84*$G84*$I84*$M84*BK$9)+(BJ84/12*10*$F84*$G84*$I84*$M84*BK$9)</f>
        <v>0</v>
      </c>
      <c r="BL84" s="37"/>
      <c r="BM84" s="36">
        <f>(BL84/12*2*$E84*$G84*$I84*$M84*BM$9)+(BL84/12*10*$F84*$G84*$I84*$M84*BM$9)</f>
        <v>0</v>
      </c>
      <c r="BN84" s="37"/>
      <c r="BO84" s="36">
        <f>(BN84/12*10*$F84*$G84*$I84*$M84*BO$9)</f>
        <v>0</v>
      </c>
      <c r="BP84" s="39"/>
      <c r="BQ84" s="36"/>
      <c r="BR84" s="37"/>
      <c r="BS84" s="36">
        <f>(BR84/12*10*$F84*$G84*$I84*$M84*BS$9)</f>
        <v>0</v>
      </c>
      <c r="BT84" s="37"/>
      <c r="BU84" s="36">
        <f>(BT84/12*2*$E84*$G84*$I84*$M84*BU$9)+(BT84/12*10*$F84*$G84*$I84*$M84*BU$9)</f>
        <v>0</v>
      </c>
      <c r="BV84" s="36"/>
      <c r="BW84" s="36">
        <f>(BV84/12*2*$E84*$G84*$I84*$M84*BW$9)+(BV84/12*10*$F84*$G84*$I84*$M84*BW$9)</f>
        <v>0</v>
      </c>
      <c r="BX84" s="37"/>
      <c r="BY84" s="36">
        <f>(BX84/12*2*$E84*$G84*$I84*$M84*BY$9)+(BX84/12*10*$F84*$G84*$I84*$M84*BY$9)</f>
        <v>0</v>
      </c>
      <c r="BZ84" s="37"/>
      <c r="CA84" s="36">
        <f>(BZ84/12*2*$E84*$G84*$I84*$M84*CA$9)+(BZ84/12*10*$F84*$G84*$I84*$M84*CA$9)</f>
        <v>0</v>
      </c>
      <c r="CB84" s="37"/>
      <c r="CC84" s="36">
        <f>(CB84/12*2*$E84*$G84*$I84*$M84*CC$9)+(CB84/12*10*$F84*$G84*$I84*$M84*CC$9)</f>
        <v>0</v>
      </c>
      <c r="CD84" s="37"/>
      <c r="CE84" s="36">
        <f>(CD84/12*2*$E84*$G84*$I84*$M84*CE$9)+(CD84/12*10*$F84*$G84*$I84*$M84*CE$9)</f>
        <v>0</v>
      </c>
      <c r="CF84" s="37"/>
      <c r="CG84" s="36">
        <f>(CF84/12*2*$E84*$G84*$I84*$N84*CG$9)+(CF84/12*10*$F84*$G84*$I84*$N84*CG$9)</f>
        <v>0</v>
      </c>
      <c r="CH84" s="37"/>
      <c r="CI84" s="36">
        <f>(CH84/12*2*$E84*$G84*$I84*$O84*$CI$9)+(CH84/12*10*$F84*$G84*$I84*$O84*$CI$9)</f>
        <v>0</v>
      </c>
      <c r="CJ84" s="36"/>
      <c r="CK84" s="36"/>
      <c r="CL84" s="36"/>
      <c r="CM84" s="36"/>
      <c r="CN84" s="36"/>
      <c r="CO84" s="36"/>
      <c r="CP84" s="42">
        <f t="shared" si="91"/>
        <v>2</v>
      </c>
      <c r="CQ84" s="42">
        <f t="shared" si="91"/>
        <v>101434.76933333332</v>
      </c>
    </row>
    <row r="85" spans="1:139" s="3" customFormat="1" ht="75" hidden="1" customHeight="1" x14ac:dyDescent="0.25">
      <c r="A85" s="54"/>
      <c r="B85" s="54">
        <v>57</v>
      </c>
      <c r="C85" s="55" t="s">
        <v>247</v>
      </c>
      <c r="D85" s="55" t="s">
        <v>248</v>
      </c>
      <c r="E85" s="110">
        <v>16026</v>
      </c>
      <c r="F85" s="110">
        <v>16828</v>
      </c>
      <c r="G85" s="67">
        <v>2.09</v>
      </c>
      <c r="H85" s="71">
        <v>0.1396</v>
      </c>
      <c r="I85" s="35">
        <v>1</v>
      </c>
      <c r="J85" s="111"/>
      <c r="K85" s="35"/>
      <c r="L85" s="65">
        <v>1.4</v>
      </c>
      <c r="M85" s="65">
        <v>1.68</v>
      </c>
      <c r="N85" s="65">
        <v>2.23</v>
      </c>
      <c r="O85" s="65">
        <v>2.57</v>
      </c>
      <c r="P85" s="36"/>
      <c r="Q85" s="48">
        <f>(P85/12*2*$E85*$G85*((1-$H85)+$H85*$L85*$I85))+(P85/12*10*$F85*$G85*((1-$H85)+$H85*$L85*$I85))</f>
        <v>0</v>
      </c>
      <c r="R85" s="37"/>
      <c r="S85" s="48">
        <f>(R85/12*2*$E85*$G85*((1-$H85)+$H85*$L85*$I85))+(R85/12*10*$F85*$G85*((1-$H85)+$H85*$L85*$I85))</f>
        <v>0</v>
      </c>
      <c r="T85" s="36">
        <v>3</v>
      </c>
      <c r="U85" s="48">
        <f>(T85/12*2*$E85*$G85*((1-$H85)+$H85*$L85*$I85))+(T85/12*10*$F85*$G85*((1-$H85)+$H85*$L85*$I85))</f>
        <v>110518.43656480001</v>
      </c>
      <c r="V85" s="36"/>
      <c r="W85" s="48">
        <f>(V85/12*2*$E85*$G85*((1-$H85)+$H85*$L85*$I85))+(V85/12*10*$F85*$G85*((1-$H85)+$H85*$L85*$I85))</f>
        <v>0</v>
      </c>
      <c r="X85" s="37"/>
      <c r="Y85" s="48">
        <f>(X85/12*2*$E85*$G85*((1-$H85)+$H85*$L85*$I85))+(X85/12*10*$F85*$G85*((1-$H85)+$H85*$L85*$I85))</f>
        <v>0</v>
      </c>
      <c r="Z85" s="37"/>
      <c r="AA85" s="48">
        <f>(Z85/12*2*$E85*$G85*((1-$H85)+$H85*$L85*$I85))+(Z85/12*10*$F85*$G85*((1-$H85)+$H85*$L85*$I85))</f>
        <v>0</v>
      </c>
      <c r="AB85" s="37"/>
      <c r="AC85" s="36"/>
      <c r="AD85" s="37"/>
      <c r="AE85" s="48">
        <f>(AD85/12*2*$E85*$G85*((1-$H85)+$H85*$L85*$I85))+(AD85/12*10*$F85*$G85*((1-$H85)+$H85*$L85*$I85))</f>
        <v>0</v>
      </c>
      <c r="AF85" s="37"/>
      <c r="AG85" s="48">
        <f>(AF85/12*2*$E85*$G85*((1-$H85)+$H85*$M85*$I85))+(AF85/12*10*$F85*$G85*((1-$H85)+$H85*$M85*$I85))</f>
        <v>0</v>
      </c>
      <c r="AH85" s="37"/>
      <c r="AI85" s="48">
        <f>(AH85/12*2*$E85*$G85*((1-$H85)+$H85*$M85*$I85))+(AH85/12*10*$F85*$G85*((1-$H85)+$H85*$M85*$I85))</f>
        <v>0</v>
      </c>
      <c r="AJ85" s="48">
        <v>0</v>
      </c>
      <c r="AK85" s="48">
        <v>0</v>
      </c>
      <c r="AL85" s="37"/>
      <c r="AM85" s="36"/>
      <c r="AN85" s="37"/>
      <c r="AO85" s="36"/>
      <c r="AP85" s="37"/>
      <c r="AQ85" s="36"/>
      <c r="AR85" s="37"/>
      <c r="AS85" s="48"/>
      <c r="AT85" s="37"/>
      <c r="AU85" s="36"/>
      <c r="AV85" s="37"/>
      <c r="AW85" s="48"/>
      <c r="AX85" s="37"/>
      <c r="AY85" s="48"/>
      <c r="AZ85" s="37"/>
      <c r="BA85" s="48"/>
      <c r="BB85" s="37"/>
      <c r="BC85" s="36"/>
      <c r="BD85" s="37"/>
      <c r="BE85" s="48">
        <f>(BD85/12*2*$E85*$G85*((1-$H85)+$H85*$L85*$I85*BE$9))+(BD85/12*10*$F85*$G85*((1-$H85)+$H85*$L85*$I85*BE$9))</f>
        <v>0</v>
      </c>
      <c r="BF85" s="37"/>
      <c r="BG85" s="48">
        <f>(BF85/12*2*$E85*$G85*((1-$H85)+$H85*$M85*$I85*BG$9))+(BF85/12*10*$F85*$G85*((1-$H85)+$H85*$M85*$I85*BG$9))</f>
        <v>0</v>
      </c>
      <c r="BH85" s="63"/>
      <c r="BI85" s="48">
        <f>(BH85/12*2*$E85*$G85*((1-$H85)+$H85*$M85*$I85*BI$9))+(BH85/12*10*$F85*$G85*((1-$H85)+$H85*$M85*$I85*BI$9))</f>
        <v>0</v>
      </c>
      <c r="BJ85" s="37"/>
      <c r="BK85" s="48">
        <f>(BJ85/12*2*$E85*$G85*((1-$H85)+$H85*$M85*$I85*BK$9))+(BJ85/12*10*$F85*$G85*((1-$H85)+$H85*$M85*$I85*BK$9))</f>
        <v>0</v>
      </c>
      <c r="BL85" s="37"/>
      <c r="BM85" s="48">
        <f>(BL85/12*2*$E85*$G85*((1-$H85)+$H85*$M85*$I85*BM$9))+(BL85/12*10*$F85*$G85*((1-$H85)+$H85*$M85*$I85*BM$9))</f>
        <v>0</v>
      </c>
      <c r="BN85" s="37"/>
      <c r="BO85" s="48">
        <f>(BN85/12*10*$F85*$G85*((1-$H85)+$H85*$M85*$I85*BO$9))</f>
        <v>0</v>
      </c>
      <c r="BP85" s="39"/>
      <c r="BQ85" s="36"/>
      <c r="BR85" s="37"/>
      <c r="BS85" s="48">
        <f>(BR85/12*10*$F85*$G85*((1-$H85)+$H85*$M85*$I85*BS$9))</f>
        <v>0</v>
      </c>
      <c r="BT85" s="37"/>
      <c r="BU85" s="48">
        <f>(BT85/12*2*$E85*$G85*((1-$H85)+$H85*$M85*$I85*BU$9))+(BT85/12*10*$F85*$G85*((1-$H85)+$H85*$M85*$I85*BU$9))</f>
        <v>0</v>
      </c>
      <c r="BV85" s="36"/>
      <c r="BW85" s="48">
        <f>(BV85/12*2*$E85*$G85*((1-$H85)+$H85*$M85*$I85*BW$9))+(BV85/12*10*$F85*$G85*((1-$H85)+$H85*$M85*$I85*BW$9))</f>
        <v>0</v>
      </c>
      <c r="BX85" s="37"/>
      <c r="BY85" s="48">
        <f>(BX85/12*2*$E85*$G85*((1-$H85)+$H85*$M85*$I85*BY$9))+(BX85/12*10*$F85*$G85*((1-$H85)+$H85*$M85*$I85*BY$9))</f>
        <v>0</v>
      </c>
      <c r="BZ85" s="37"/>
      <c r="CA85" s="48">
        <f>(BZ85/12*2*$E85*$G85*((1-$H85)+$H85*$M85*$I85*CA$9))+(BZ85/12*10*$F85*$G85*((1-$H85)+$H85*$M85*$I85*CA$9))</f>
        <v>0</v>
      </c>
      <c r="CB85" s="37"/>
      <c r="CC85" s="48">
        <f>(CB85/12*2*$E85*$G85*((1-$H85)+$H85*$M85*$I85*CC$9))+(CB85/12*10*$F85*$G85*((1-$H85)+$H85*$M85*$I85*CC$9))</f>
        <v>0</v>
      </c>
      <c r="CD85" s="37"/>
      <c r="CE85" s="48">
        <f>(CD85/12*2*$E85*$G85*((1-$H85)+$H85*$M85*$I85*CE$9))+(CD85/12*10*$F85*$G85*((1-$H85)+$H85*$M85*$I85*CE$9))</f>
        <v>0</v>
      </c>
      <c r="CF85" s="37"/>
      <c r="CG85" s="48">
        <f>(CF85/12*2*$E85*$G85*((1-$H85)+$H85*$N85*$I85*CG$9))+(CF85/12*10*$F85*$G85*((1-$H85)+$H85*$N85*$I85*CG$9))</f>
        <v>0</v>
      </c>
      <c r="CH85" s="37"/>
      <c r="CI85" s="48">
        <f>(CH85/12*2*$E85*$G85*((1-$H85)+$H85*$O85*$I85))+(CH85/12*10*$F85*$G85*((1-$H85)+$H85*$O85*$I85))</f>
        <v>0</v>
      </c>
      <c r="CJ85" s="36"/>
      <c r="CK85" s="36"/>
      <c r="CL85" s="36"/>
      <c r="CM85" s="36"/>
      <c r="CN85" s="36"/>
      <c r="CO85" s="36"/>
      <c r="CP85" s="42">
        <f t="shared" si="91"/>
        <v>3</v>
      </c>
      <c r="CQ85" s="42">
        <f t="shared" si="91"/>
        <v>110518.43656480001</v>
      </c>
    </row>
    <row r="86" spans="1:139" s="3" customFormat="1" ht="60" hidden="1" customHeight="1" x14ac:dyDescent="0.25">
      <c r="A86" s="54"/>
      <c r="B86" s="54">
        <v>58</v>
      </c>
      <c r="C86" s="55" t="s">
        <v>249</v>
      </c>
      <c r="D86" s="70" t="s">
        <v>250</v>
      </c>
      <c r="E86" s="110">
        <v>16026</v>
      </c>
      <c r="F86" s="110">
        <v>16828</v>
      </c>
      <c r="G86" s="33">
        <v>2.44</v>
      </c>
      <c r="H86" s="34"/>
      <c r="I86" s="35">
        <v>1</v>
      </c>
      <c r="J86" s="111"/>
      <c r="K86" s="35"/>
      <c r="L86" s="65">
        <v>1.4</v>
      </c>
      <c r="M86" s="65">
        <v>1.68</v>
      </c>
      <c r="N86" s="65">
        <v>2.23</v>
      </c>
      <c r="O86" s="65">
        <v>2.57</v>
      </c>
      <c r="P86" s="36">
        <v>2</v>
      </c>
      <c r="Q86" s="36">
        <f t="shared" ref="Q86:Q93" si="92">SUM(P86/12*2*$E86*$G86*$I86*$L86*$Q$9)+(P86/12*10*$F86*$G86*$I86*$L86*$Q$9)</f>
        <v>114055.68533333331</v>
      </c>
      <c r="R86" s="37"/>
      <c r="S86" s="36">
        <f t="shared" ref="S86:S93" si="93">SUM(R86/12*2*$E86*$G86*$I86*$L86*S$9)+(R86/12*10*$F86*$G86*$I86*$L86*S$9)</f>
        <v>0</v>
      </c>
      <c r="T86" s="36"/>
      <c r="U86" s="36">
        <f t="shared" ref="U86:U93" si="94">SUM(T86/12*2*$E86*$G86*$I86*$L86*U$9)+(T86/12*10*$F86*$G86*$I86*$L86*U$9)</f>
        <v>0</v>
      </c>
      <c r="V86" s="36"/>
      <c r="W86" s="36">
        <f t="shared" ref="W86:W93" si="95">SUM(V86/12*2*$E86*$G86*$I86*$L86*$W$9)+(V86/12*10*$F86*$G86*$I86*$L86*$W$9)</f>
        <v>0</v>
      </c>
      <c r="X86" s="37"/>
      <c r="Y86" s="38">
        <f t="shared" ref="Y86:Y93" si="96">SUM(X86/12*2*$E86*$G86*$I86*$L86*Y$9)+(X86/12*10*$F86*$G86*$I86*$L86*Y$9)</f>
        <v>0</v>
      </c>
      <c r="Z86" s="37"/>
      <c r="AA86" s="36"/>
      <c r="AB86" s="37"/>
      <c r="AC86" s="36">
        <f t="shared" ref="AC86:AC93" si="97">(AB86/12*2*$E86*$G86*$I86*$L86)+(AB86/12*10*$F86*$G86*$I86*$L86)</f>
        <v>0</v>
      </c>
      <c r="AD86" s="37"/>
      <c r="AE86" s="36">
        <f t="shared" ref="AE86:AE93" si="98">(AD86/12*2*$E86*$G86*$I86*$L86*AE$9)+(AD86/12*10*$F86*$G86*$I86*$L86*AE$9)</f>
        <v>0</v>
      </c>
      <c r="AF86" s="37"/>
      <c r="AG86" s="36">
        <f t="shared" ref="AG86:AG93" si="99">(AF86/12*2*$E86*$G86*$I86*$M86*AG$9)+(AF86/12*10*$F86*$G86*$I86*$M86*AG$9)</f>
        <v>0</v>
      </c>
      <c r="AH86" s="37"/>
      <c r="AI86" s="36">
        <f t="shared" ref="AI86:AI93" si="100">(AH86/12*2*$E86*$G86*$I86*$M86*$AI$9)+(AH86/12*10*$F86*$G86*$I86*$M86*$AI$9)</f>
        <v>0</v>
      </c>
      <c r="AJ86" s="36">
        <v>0</v>
      </c>
      <c r="AK86" s="36">
        <v>0</v>
      </c>
      <c r="AL86" s="37"/>
      <c r="AM86" s="36">
        <f t="shared" ref="AM86:AM93" si="101">SUM(AL86/12*2*$E86*$G86*$I86*$L86*AM$9)+(AL86/12*10*$F86*$G86*$I86*$L86*AM$9)</f>
        <v>0</v>
      </c>
      <c r="AN86" s="37"/>
      <c r="AO86" s="36">
        <f t="shared" ref="AO86:AO93" si="102">SUM(AN86/12*2*$E86*$G86*$I86*$L86*$AE$9)+(AN86/12*10*$F86*$G86*$I86*$L86*$AE$9)</f>
        <v>0</v>
      </c>
      <c r="AP86" s="37"/>
      <c r="AQ86" s="36"/>
      <c r="AR86" s="37"/>
      <c r="AS86" s="36">
        <f t="shared" ref="AS86:AS93" si="103">SUM(AR86/12*2*$E86*$G86*$I86*$L86*AS$9)+(AR86/12*10*$F86*$G86*$I86*$L86*AS$9)</f>
        <v>0</v>
      </c>
      <c r="AT86" s="37"/>
      <c r="AU86" s="36">
        <f t="shared" ref="AU86:AU93" si="104">SUM(AT86/12*2*$E86*$G86*$I86*$L86*$AI$9)+(AT86/12*10*$F86*$G86*$I86*$L86*$AI$9)</f>
        <v>0</v>
      </c>
      <c r="AV86" s="37"/>
      <c r="AW86" s="36">
        <f t="shared" ref="AW86:AW93" si="105">SUM(AV86/12*2*$E86*$G86*$I86*$L86*AW$9)+(AV86/12*10*$F86*$G86*$I86*$L86*AW$9)</f>
        <v>0</v>
      </c>
      <c r="AX86" s="37"/>
      <c r="AY86" s="36">
        <f t="shared" ref="AY86:AY93" si="106">SUM(AX86/12*2*$E86*$G86*$I86*$L86*AY$9)+(AX86/12*10*$F86*$G86*$I86*$L86*AY$9)</f>
        <v>0</v>
      </c>
      <c r="AZ86" s="37"/>
      <c r="BA86" s="36">
        <f t="shared" ref="BA86:BA93" si="107">SUM(AZ86/12*2*$E86*$G86*$I86*$L86*BA$9)+(AZ86/12*10*$F86*$G86*$I86*$L86*BA$9)</f>
        <v>0</v>
      </c>
      <c r="BB86" s="37"/>
      <c r="BC86" s="36">
        <f t="shared" ref="BC86:BC93" si="108">SUM(BB86/12*2*$E86*$G86*$I86*$L86*BC$9)+(BB86/12*10*$F86*$G86*$I86*$L86*BC$9)</f>
        <v>0</v>
      </c>
      <c r="BD86" s="37"/>
      <c r="BE86" s="36">
        <f t="shared" ref="BE86:BE93" si="109">SUM(BD86/12*2*$E86*$G86*$I86*$L86*BE$9)+(BD86/12*10*$F86*$G86*$I86*$L86*BE$9)</f>
        <v>0</v>
      </c>
      <c r="BF86" s="37"/>
      <c r="BG86" s="39">
        <f t="shared" ref="BG86:BG93" si="110">(BF86/12*2*$E86*$G86*$I86*$M86*BG$9)+(BF86/12*10*$F86*$G86*$I86*$M86*BG$9)</f>
        <v>0</v>
      </c>
      <c r="BH86" s="60"/>
      <c r="BI86" s="36">
        <f t="shared" ref="BI86:BI93" si="111">(BH86/12*2*$E86*$G86*$I86*$M86*BI$9)+(BH86/12*10*$F86*$G86*$I86*$M86*BI$9)</f>
        <v>0</v>
      </c>
      <c r="BJ86" s="37"/>
      <c r="BK86" s="36">
        <f t="shared" ref="BK86:BK93" si="112">(BJ86/12*2*$E86*$G86*$I86*$M86*BK$9)+(BJ86/12*10*$F86*$G86*$I86*$M86*BK$9)</f>
        <v>0</v>
      </c>
      <c r="BL86" s="37"/>
      <c r="BM86" s="36">
        <f t="shared" ref="BM86:BM93" si="113">(BL86/12*2*$E86*$G86*$I86*$M86*BM$9)+(BL86/12*10*$F86*$G86*$I86*$M86*BM$9)</f>
        <v>0</v>
      </c>
      <c r="BN86" s="37"/>
      <c r="BO86" s="36">
        <f t="shared" ref="BO86:BO93" si="114">(BN86/12*10*$F86*$G86*$I86*$M86*BO$9)</f>
        <v>0</v>
      </c>
      <c r="BP86" s="39"/>
      <c r="BQ86" s="36"/>
      <c r="BR86" s="37"/>
      <c r="BS86" s="36">
        <f t="shared" ref="BS86:BS93" si="115">(BR86/12*10*$F86*$G86*$I86*$M86*BS$9)</f>
        <v>0</v>
      </c>
      <c r="BT86" s="37"/>
      <c r="BU86" s="36">
        <f t="shared" ref="BU86:BU93" si="116">(BT86/12*2*$E86*$G86*$I86*$M86*BU$9)+(BT86/12*10*$F86*$G86*$I86*$M86*BU$9)</f>
        <v>0</v>
      </c>
      <c r="BV86" s="36"/>
      <c r="BW86" s="36">
        <f t="shared" ref="BW86:BW93" si="117">(BV86/12*2*$E86*$G86*$I86*$M86*BW$9)+(BV86/12*10*$F86*$G86*$I86*$M86*BW$9)</f>
        <v>0</v>
      </c>
      <c r="BX86" s="37"/>
      <c r="BY86" s="36">
        <f t="shared" ref="BY86:BY93" si="118">(BX86/12*2*$E86*$G86*$I86*$M86*BY$9)+(BX86/12*10*$F86*$G86*$I86*$M86*BY$9)</f>
        <v>0</v>
      </c>
      <c r="BZ86" s="37"/>
      <c r="CA86" s="36">
        <f t="shared" ref="CA86:CA93" si="119">(BZ86/12*2*$E86*$G86*$I86*$M86*CA$9)+(BZ86/12*10*$F86*$G86*$I86*$M86*CA$9)</f>
        <v>0</v>
      </c>
      <c r="CB86" s="37"/>
      <c r="CC86" s="36">
        <f t="shared" ref="CC86:CC93" si="120">(CB86/12*2*$E86*$G86*$I86*$M86*CC$9)+(CB86/12*10*$F86*$G86*$I86*$M86*CC$9)</f>
        <v>0</v>
      </c>
      <c r="CD86" s="37"/>
      <c r="CE86" s="36">
        <f t="shared" ref="CE86:CE93" si="121">(CD86/12*2*$E86*$G86*$I86*$M86*CE$9)+(CD86/12*10*$F86*$G86*$I86*$M86*CE$9)</f>
        <v>0</v>
      </c>
      <c r="CF86" s="37"/>
      <c r="CG86" s="36">
        <f t="shared" ref="CG86:CG93" si="122">(CF86/12*2*$E86*$G86*$I86*$N86*CG$9)+(CF86/12*10*$F86*$G86*$I86*$N86*CG$9)</f>
        <v>0</v>
      </c>
      <c r="CH86" s="37"/>
      <c r="CI86" s="36">
        <f t="shared" ref="CI86:CI93" si="123">(CH86/12*2*$E86*$G86*$I86*$O86*$CI$9)+(CH86/12*10*$F86*$G86*$I86*$O86*$CI$9)</f>
        <v>0</v>
      </c>
      <c r="CJ86" s="36"/>
      <c r="CK86" s="36"/>
      <c r="CL86" s="36"/>
      <c r="CM86" s="36"/>
      <c r="CN86" s="36"/>
      <c r="CO86" s="36"/>
      <c r="CP86" s="42">
        <f t="shared" si="91"/>
        <v>2</v>
      </c>
      <c r="CQ86" s="42">
        <f t="shared" si="91"/>
        <v>114055.68533333331</v>
      </c>
    </row>
    <row r="87" spans="1:139" s="3" customFormat="1" ht="18.75" hidden="1" customHeight="1" x14ac:dyDescent="0.25">
      <c r="A87" s="54"/>
      <c r="B87" s="54">
        <v>59</v>
      </c>
      <c r="C87" s="55" t="s">
        <v>251</v>
      </c>
      <c r="D87" s="109" t="s">
        <v>252</v>
      </c>
      <c r="E87" s="110">
        <v>16026</v>
      </c>
      <c r="F87" s="110">
        <v>16828</v>
      </c>
      <c r="G87" s="33">
        <v>0.74</v>
      </c>
      <c r="H87" s="34"/>
      <c r="I87" s="35">
        <v>1</v>
      </c>
      <c r="J87" s="111"/>
      <c r="K87" s="35"/>
      <c r="L87" s="65">
        <v>1.4</v>
      </c>
      <c r="M87" s="65">
        <v>1.68</v>
      </c>
      <c r="N87" s="65">
        <v>2.23</v>
      </c>
      <c r="O87" s="65">
        <v>2.57</v>
      </c>
      <c r="P87" s="36">
        <v>0</v>
      </c>
      <c r="Q87" s="36">
        <f t="shared" si="92"/>
        <v>0</v>
      </c>
      <c r="R87" s="37">
        <v>0</v>
      </c>
      <c r="S87" s="36">
        <f t="shared" si="93"/>
        <v>0</v>
      </c>
      <c r="T87" s="36"/>
      <c r="U87" s="36">
        <f t="shared" si="94"/>
        <v>0</v>
      </c>
      <c r="V87" s="36"/>
      <c r="W87" s="36">
        <f t="shared" si="95"/>
        <v>0</v>
      </c>
      <c r="X87" s="37">
        <v>0</v>
      </c>
      <c r="Y87" s="38">
        <f t="shared" si="96"/>
        <v>0</v>
      </c>
      <c r="Z87" s="37"/>
      <c r="AA87" s="36"/>
      <c r="AB87" s="37"/>
      <c r="AC87" s="36">
        <f t="shared" si="97"/>
        <v>0</v>
      </c>
      <c r="AD87" s="37"/>
      <c r="AE87" s="36">
        <f t="shared" si="98"/>
        <v>0</v>
      </c>
      <c r="AF87" s="37">
        <v>0</v>
      </c>
      <c r="AG87" s="36">
        <f t="shared" si="99"/>
        <v>0</v>
      </c>
      <c r="AH87" s="37">
        <v>0</v>
      </c>
      <c r="AI87" s="36">
        <f t="shared" si="100"/>
        <v>0</v>
      </c>
      <c r="AJ87" s="36">
        <v>0</v>
      </c>
      <c r="AK87" s="36">
        <v>0</v>
      </c>
      <c r="AL87" s="37"/>
      <c r="AM87" s="36">
        <f t="shared" si="101"/>
        <v>0</v>
      </c>
      <c r="AN87" s="37">
        <v>0</v>
      </c>
      <c r="AO87" s="36">
        <f t="shared" si="102"/>
        <v>0</v>
      </c>
      <c r="AP87" s="37"/>
      <c r="AQ87" s="36"/>
      <c r="AR87" s="37"/>
      <c r="AS87" s="36">
        <f t="shared" si="103"/>
        <v>0</v>
      </c>
      <c r="AT87" s="37">
        <v>0</v>
      </c>
      <c r="AU87" s="36">
        <f t="shared" si="104"/>
        <v>0</v>
      </c>
      <c r="AV87" s="37">
        <v>0</v>
      </c>
      <c r="AW87" s="36">
        <f t="shared" si="105"/>
        <v>0</v>
      </c>
      <c r="AX87" s="37">
        <v>0</v>
      </c>
      <c r="AY87" s="36">
        <f t="shared" si="106"/>
        <v>0</v>
      </c>
      <c r="AZ87" s="37">
        <v>0</v>
      </c>
      <c r="BA87" s="36">
        <f t="shared" si="107"/>
        <v>0</v>
      </c>
      <c r="BB87" s="37">
        <v>0</v>
      </c>
      <c r="BC87" s="36">
        <f t="shared" si="108"/>
        <v>0</v>
      </c>
      <c r="BD87" s="37"/>
      <c r="BE87" s="36">
        <f t="shared" si="109"/>
        <v>0</v>
      </c>
      <c r="BF87" s="37">
        <v>0</v>
      </c>
      <c r="BG87" s="39">
        <f t="shared" si="110"/>
        <v>0</v>
      </c>
      <c r="BH87" s="60">
        <v>0</v>
      </c>
      <c r="BI87" s="36">
        <f t="shared" si="111"/>
        <v>0</v>
      </c>
      <c r="BJ87" s="37">
        <v>0</v>
      </c>
      <c r="BK87" s="36">
        <f t="shared" si="112"/>
        <v>0</v>
      </c>
      <c r="BL87" s="37">
        <v>0</v>
      </c>
      <c r="BM87" s="36">
        <f t="shared" si="113"/>
        <v>0</v>
      </c>
      <c r="BN87" s="37">
        <v>0</v>
      </c>
      <c r="BO87" s="36">
        <f t="shared" si="114"/>
        <v>0</v>
      </c>
      <c r="BP87" s="39"/>
      <c r="BQ87" s="36"/>
      <c r="BR87" s="37">
        <v>0</v>
      </c>
      <c r="BS87" s="36">
        <f t="shared" si="115"/>
        <v>0</v>
      </c>
      <c r="BT87" s="37">
        <v>0</v>
      </c>
      <c r="BU87" s="36">
        <f t="shared" si="116"/>
        <v>0</v>
      </c>
      <c r="BV87" s="36">
        <v>0</v>
      </c>
      <c r="BW87" s="36">
        <f t="shared" si="117"/>
        <v>0</v>
      </c>
      <c r="BX87" s="37">
        <v>0</v>
      </c>
      <c r="BY87" s="36">
        <f t="shared" si="118"/>
        <v>0</v>
      </c>
      <c r="BZ87" s="37"/>
      <c r="CA87" s="36">
        <f t="shared" si="119"/>
        <v>0</v>
      </c>
      <c r="CB87" s="37"/>
      <c r="CC87" s="36">
        <f t="shared" si="120"/>
        <v>0</v>
      </c>
      <c r="CD87" s="37">
        <v>0</v>
      </c>
      <c r="CE87" s="36">
        <f t="shared" si="121"/>
        <v>0</v>
      </c>
      <c r="CF87" s="37">
        <v>0</v>
      </c>
      <c r="CG87" s="36">
        <f t="shared" si="122"/>
        <v>0</v>
      </c>
      <c r="CH87" s="37">
        <v>0</v>
      </c>
      <c r="CI87" s="36">
        <f t="shared" si="123"/>
        <v>0</v>
      </c>
      <c r="CJ87" s="36"/>
      <c r="CK87" s="36"/>
      <c r="CL87" s="36"/>
      <c r="CM87" s="36"/>
      <c r="CN87" s="41"/>
      <c r="CO87" s="41"/>
      <c r="CP87" s="42">
        <f t="shared" si="91"/>
        <v>0</v>
      </c>
      <c r="CQ87" s="42">
        <f t="shared" si="91"/>
        <v>0</v>
      </c>
    </row>
    <row r="88" spans="1:139" s="3" customFormat="1" ht="18.75" hidden="1" customHeight="1" x14ac:dyDescent="0.25">
      <c r="A88" s="54"/>
      <c r="B88" s="54">
        <v>60</v>
      </c>
      <c r="C88" s="55" t="s">
        <v>253</v>
      </c>
      <c r="D88" s="109" t="s">
        <v>254</v>
      </c>
      <c r="E88" s="110">
        <v>16026</v>
      </c>
      <c r="F88" s="110">
        <v>16828</v>
      </c>
      <c r="G88" s="33">
        <v>1.44</v>
      </c>
      <c r="H88" s="34"/>
      <c r="I88" s="35">
        <v>1</v>
      </c>
      <c r="J88" s="111"/>
      <c r="K88" s="35"/>
      <c r="L88" s="65">
        <v>1.4</v>
      </c>
      <c r="M88" s="65">
        <v>1.68</v>
      </c>
      <c r="N88" s="65">
        <v>2.23</v>
      </c>
      <c r="O88" s="65">
        <v>2.57</v>
      </c>
      <c r="P88" s="36">
        <v>0</v>
      </c>
      <c r="Q88" s="36">
        <f t="shared" si="92"/>
        <v>0</v>
      </c>
      <c r="R88" s="37">
        <v>0</v>
      </c>
      <c r="S88" s="36">
        <f t="shared" si="93"/>
        <v>0</v>
      </c>
      <c r="T88" s="36"/>
      <c r="U88" s="36">
        <f t="shared" si="94"/>
        <v>0</v>
      </c>
      <c r="V88" s="36">
        <v>28</v>
      </c>
      <c r="W88" s="36">
        <f t="shared" si="95"/>
        <v>942361.728</v>
      </c>
      <c r="X88" s="37">
        <v>0</v>
      </c>
      <c r="Y88" s="38">
        <f t="shared" si="96"/>
        <v>0</v>
      </c>
      <c r="Z88" s="37"/>
      <c r="AA88" s="36"/>
      <c r="AB88" s="37"/>
      <c r="AC88" s="36">
        <f t="shared" si="97"/>
        <v>0</v>
      </c>
      <c r="AD88" s="37"/>
      <c r="AE88" s="36">
        <f t="shared" si="98"/>
        <v>0</v>
      </c>
      <c r="AF88" s="37">
        <v>0</v>
      </c>
      <c r="AG88" s="36">
        <f t="shared" si="99"/>
        <v>0</v>
      </c>
      <c r="AH88" s="37">
        <v>0</v>
      </c>
      <c r="AI88" s="36">
        <f t="shared" si="100"/>
        <v>0</v>
      </c>
      <c r="AJ88" s="36">
        <v>0</v>
      </c>
      <c r="AK88" s="36">
        <v>0</v>
      </c>
      <c r="AL88" s="37"/>
      <c r="AM88" s="36">
        <f t="shared" si="101"/>
        <v>0</v>
      </c>
      <c r="AN88" s="37">
        <v>0</v>
      </c>
      <c r="AO88" s="36">
        <f t="shared" si="102"/>
        <v>0</v>
      </c>
      <c r="AP88" s="37"/>
      <c r="AQ88" s="36"/>
      <c r="AR88" s="37"/>
      <c r="AS88" s="36">
        <f t="shared" si="103"/>
        <v>0</v>
      </c>
      <c r="AT88" s="37">
        <v>0</v>
      </c>
      <c r="AU88" s="36">
        <f t="shared" si="104"/>
        <v>0</v>
      </c>
      <c r="AV88" s="37">
        <v>0</v>
      </c>
      <c r="AW88" s="36">
        <f t="shared" si="105"/>
        <v>0</v>
      </c>
      <c r="AX88" s="37">
        <v>0</v>
      </c>
      <c r="AY88" s="36">
        <f t="shared" si="106"/>
        <v>0</v>
      </c>
      <c r="AZ88" s="37">
        <v>0</v>
      </c>
      <c r="BA88" s="36">
        <f t="shared" si="107"/>
        <v>0</v>
      </c>
      <c r="BB88" s="37">
        <v>0</v>
      </c>
      <c r="BC88" s="36">
        <f t="shared" si="108"/>
        <v>0</v>
      </c>
      <c r="BD88" s="37"/>
      <c r="BE88" s="36">
        <f t="shared" si="109"/>
        <v>0</v>
      </c>
      <c r="BF88" s="37">
        <v>0</v>
      </c>
      <c r="BG88" s="39">
        <f t="shared" si="110"/>
        <v>0</v>
      </c>
      <c r="BH88" s="60">
        <v>0</v>
      </c>
      <c r="BI88" s="36">
        <f t="shared" si="111"/>
        <v>0</v>
      </c>
      <c r="BJ88" s="37">
        <v>0</v>
      </c>
      <c r="BK88" s="36">
        <f t="shared" si="112"/>
        <v>0</v>
      </c>
      <c r="BL88" s="37">
        <v>0</v>
      </c>
      <c r="BM88" s="36">
        <f t="shared" si="113"/>
        <v>0</v>
      </c>
      <c r="BN88" s="37">
        <v>0</v>
      </c>
      <c r="BO88" s="36">
        <f t="shared" si="114"/>
        <v>0</v>
      </c>
      <c r="BP88" s="39"/>
      <c r="BQ88" s="36"/>
      <c r="BR88" s="37">
        <v>0</v>
      </c>
      <c r="BS88" s="36">
        <f t="shared" si="115"/>
        <v>0</v>
      </c>
      <c r="BT88" s="37">
        <v>0</v>
      </c>
      <c r="BU88" s="36">
        <f t="shared" si="116"/>
        <v>0</v>
      </c>
      <c r="BV88" s="36">
        <v>0</v>
      </c>
      <c r="BW88" s="36">
        <f t="shared" si="117"/>
        <v>0</v>
      </c>
      <c r="BX88" s="37">
        <v>0</v>
      </c>
      <c r="BY88" s="36">
        <f t="shared" si="118"/>
        <v>0</v>
      </c>
      <c r="BZ88" s="37"/>
      <c r="CA88" s="36">
        <f t="shared" si="119"/>
        <v>0</v>
      </c>
      <c r="CB88" s="37"/>
      <c r="CC88" s="36">
        <f t="shared" si="120"/>
        <v>0</v>
      </c>
      <c r="CD88" s="37">
        <v>0</v>
      </c>
      <c r="CE88" s="36">
        <f t="shared" si="121"/>
        <v>0</v>
      </c>
      <c r="CF88" s="37">
        <v>0</v>
      </c>
      <c r="CG88" s="36">
        <f t="shared" si="122"/>
        <v>0</v>
      </c>
      <c r="CH88" s="37">
        <v>0</v>
      </c>
      <c r="CI88" s="36">
        <f t="shared" si="123"/>
        <v>0</v>
      </c>
      <c r="CJ88" s="36"/>
      <c r="CK88" s="36"/>
      <c r="CL88" s="36"/>
      <c r="CM88" s="36"/>
      <c r="CN88" s="41"/>
      <c r="CO88" s="41"/>
      <c r="CP88" s="42">
        <f t="shared" si="91"/>
        <v>28</v>
      </c>
      <c r="CQ88" s="42">
        <f t="shared" si="91"/>
        <v>942361.728</v>
      </c>
    </row>
    <row r="89" spans="1:139" s="3" customFormat="1" ht="18.75" hidden="1" customHeight="1" x14ac:dyDescent="0.25">
      <c r="A89" s="54"/>
      <c r="B89" s="54">
        <v>61</v>
      </c>
      <c r="C89" s="55" t="s">
        <v>255</v>
      </c>
      <c r="D89" s="109" t="s">
        <v>256</v>
      </c>
      <c r="E89" s="110">
        <v>16026</v>
      </c>
      <c r="F89" s="110">
        <v>16828</v>
      </c>
      <c r="G89" s="33">
        <v>2.2200000000000002</v>
      </c>
      <c r="H89" s="34"/>
      <c r="I89" s="35">
        <v>1</v>
      </c>
      <c r="J89" s="111"/>
      <c r="K89" s="35"/>
      <c r="L89" s="65">
        <v>1.4</v>
      </c>
      <c r="M89" s="65">
        <v>1.68</v>
      </c>
      <c r="N89" s="65">
        <v>2.23</v>
      </c>
      <c r="O89" s="65">
        <v>2.57</v>
      </c>
      <c r="P89" s="36">
        <v>0</v>
      </c>
      <c r="Q89" s="36">
        <f t="shared" si="92"/>
        <v>0</v>
      </c>
      <c r="R89" s="37">
        <v>0</v>
      </c>
      <c r="S89" s="36">
        <f t="shared" si="93"/>
        <v>0</v>
      </c>
      <c r="T89" s="36"/>
      <c r="U89" s="36">
        <f t="shared" si="94"/>
        <v>0</v>
      </c>
      <c r="V89" s="36">
        <v>15</v>
      </c>
      <c r="W89" s="36">
        <f t="shared" si="95"/>
        <v>778289.82000000007</v>
      </c>
      <c r="X89" s="37">
        <v>0</v>
      </c>
      <c r="Y89" s="38">
        <f t="shared" si="96"/>
        <v>0</v>
      </c>
      <c r="Z89" s="37"/>
      <c r="AA89" s="36"/>
      <c r="AB89" s="37">
        <v>0</v>
      </c>
      <c r="AC89" s="36">
        <f t="shared" si="97"/>
        <v>0</v>
      </c>
      <c r="AD89" s="37">
        <v>0</v>
      </c>
      <c r="AE89" s="36">
        <f t="shared" si="98"/>
        <v>0</v>
      </c>
      <c r="AF89" s="37">
        <v>0</v>
      </c>
      <c r="AG89" s="36">
        <f t="shared" si="99"/>
        <v>0</v>
      </c>
      <c r="AH89" s="37">
        <v>0</v>
      </c>
      <c r="AI89" s="36">
        <f t="shared" si="100"/>
        <v>0</v>
      </c>
      <c r="AJ89" s="36">
        <v>0</v>
      </c>
      <c r="AK89" s="36">
        <v>0</v>
      </c>
      <c r="AL89" s="37"/>
      <c r="AM89" s="36">
        <f t="shared" si="101"/>
        <v>0</v>
      </c>
      <c r="AN89" s="37">
        <v>0</v>
      </c>
      <c r="AO89" s="36">
        <f t="shared" si="102"/>
        <v>0</v>
      </c>
      <c r="AP89" s="37"/>
      <c r="AQ89" s="36"/>
      <c r="AR89" s="37"/>
      <c r="AS89" s="36">
        <f t="shared" si="103"/>
        <v>0</v>
      </c>
      <c r="AT89" s="37">
        <v>0</v>
      </c>
      <c r="AU89" s="36">
        <f t="shared" si="104"/>
        <v>0</v>
      </c>
      <c r="AV89" s="37">
        <v>0</v>
      </c>
      <c r="AW89" s="36">
        <f t="shared" si="105"/>
        <v>0</v>
      </c>
      <c r="AX89" s="37">
        <v>0</v>
      </c>
      <c r="AY89" s="36">
        <f t="shared" si="106"/>
        <v>0</v>
      </c>
      <c r="AZ89" s="37">
        <v>0</v>
      </c>
      <c r="BA89" s="36">
        <f t="shared" si="107"/>
        <v>0</v>
      </c>
      <c r="BB89" s="37">
        <v>0</v>
      </c>
      <c r="BC89" s="36">
        <f t="shared" si="108"/>
        <v>0</v>
      </c>
      <c r="BD89" s="37"/>
      <c r="BE89" s="36">
        <f t="shared" si="109"/>
        <v>0</v>
      </c>
      <c r="BF89" s="37">
        <v>0</v>
      </c>
      <c r="BG89" s="39">
        <f t="shared" si="110"/>
        <v>0</v>
      </c>
      <c r="BH89" s="60">
        <v>0</v>
      </c>
      <c r="BI89" s="36">
        <f t="shared" si="111"/>
        <v>0</v>
      </c>
      <c r="BJ89" s="37">
        <v>0</v>
      </c>
      <c r="BK89" s="36">
        <f t="shared" si="112"/>
        <v>0</v>
      </c>
      <c r="BL89" s="37">
        <v>0</v>
      </c>
      <c r="BM89" s="36">
        <f t="shared" si="113"/>
        <v>0</v>
      </c>
      <c r="BN89" s="37">
        <v>0</v>
      </c>
      <c r="BO89" s="36">
        <f t="shared" si="114"/>
        <v>0</v>
      </c>
      <c r="BP89" s="39"/>
      <c r="BQ89" s="36"/>
      <c r="BR89" s="37">
        <v>0</v>
      </c>
      <c r="BS89" s="36">
        <f t="shared" si="115"/>
        <v>0</v>
      </c>
      <c r="BT89" s="37">
        <v>0</v>
      </c>
      <c r="BU89" s="36">
        <f t="shared" si="116"/>
        <v>0</v>
      </c>
      <c r="BV89" s="36">
        <v>0</v>
      </c>
      <c r="BW89" s="36">
        <f t="shared" si="117"/>
        <v>0</v>
      </c>
      <c r="BX89" s="37">
        <v>0</v>
      </c>
      <c r="BY89" s="36">
        <f t="shared" si="118"/>
        <v>0</v>
      </c>
      <c r="BZ89" s="37"/>
      <c r="CA89" s="36">
        <f t="shared" si="119"/>
        <v>0</v>
      </c>
      <c r="CB89" s="37"/>
      <c r="CC89" s="36">
        <f t="shared" si="120"/>
        <v>0</v>
      </c>
      <c r="CD89" s="37">
        <v>0</v>
      </c>
      <c r="CE89" s="36">
        <f t="shared" si="121"/>
        <v>0</v>
      </c>
      <c r="CF89" s="37">
        <v>0</v>
      </c>
      <c r="CG89" s="36">
        <f t="shared" si="122"/>
        <v>0</v>
      </c>
      <c r="CH89" s="37">
        <v>0</v>
      </c>
      <c r="CI89" s="36">
        <f t="shared" si="123"/>
        <v>0</v>
      </c>
      <c r="CJ89" s="36"/>
      <c r="CK89" s="36"/>
      <c r="CL89" s="36"/>
      <c r="CM89" s="36"/>
      <c r="CN89" s="41"/>
      <c r="CO89" s="41"/>
      <c r="CP89" s="42">
        <f t="shared" si="91"/>
        <v>15</v>
      </c>
      <c r="CQ89" s="42">
        <f t="shared" si="91"/>
        <v>778289.82000000007</v>
      </c>
    </row>
    <row r="90" spans="1:139" s="3" customFormat="1" ht="18.75" hidden="1" customHeight="1" x14ac:dyDescent="0.25">
      <c r="A90" s="54"/>
      <c r="B90" s="54">
        <v>62</v>
      </c>
      <c r="C90" s="55" t="s">
        <v>257</v>
      </c>
      <c r="D90" s="109" t="s">
        <v>258</v>
      </c>
      <c r="E90" s="110">
        <v>16026</v>
      </c>
      <c r="F90" s="110">
        <v>16828</v>
      </c>
      <c r="G90" s="33">
        <v>2.93</v>
      </c>
      <c r="H90" s="34"/>
      <c r="I90" s="35">
        <v>1</v>
      </c>
      <c r="J90" s="111"/>
      <c r="K90" s="35"/>
      <c r="L90" s="65">
        <v>1.4</v>
      </c>
      <c r="M90" s="65">
        <v>1.68</v>
      </c>
      <c r="N90" s="65">
        <v>2.23</v>
      </c>
      <c r="O90" s="65">
        <v>2.57</v>
      </c>
      <c r="P90" s="36"/>
      <c r="Q90" s="36">
        <f t="shared" si="92"/>
        <v>0</v>
      </c>
      <c r="R90" s="37"/>
      <c r="S90" s="36">
        <f t="shared" si="93"/>
        <v>0</v>
      </c>
      <c r="T90" s="36"/>
      <c r="U90" s="36">
        <f t="shared" si="94"/>
        <v>0</v>
      </c>
      <c r="V90" s="36">
        <v>46</v>
      </c>
      <c r="W90" s="36">
        <f t="shared" si="95"/>
        <v>3150087.1453333334</v>
      </c>
      <c r="X90" s="37"/>
      <c r="Y90" s="38">
        <f t="shared" si="96"/>
        <v>0</v>
      </c>
      <c r="Z90" s="37"/>
      <c r="AA90" s="36"/>
      <c r="AB90" s="37"/>
      <c r="AC90" s="36">
        <f t="shared" si="97"/>
        <v>0</v>
      </c>
      <c r="AD90" s="37">
        <v>0</v>
      </c>
      <c r="AE90" s="36">
        <f t="shared" si="98"/>
        <v>0</v>
      </c>
      <c r="AF90" s="37">
        <v>0</v>
      </c>
      <c r="AG90" s="36">
        <f t="shared" si="99"/>
        <v>0</v>
      </c>
      <c r="AH90" s="37"/>
      <c r="AI90" s="36">
        <f t="shared" si="100"/>
        <v>0</v>
      </c>
      <c r="AJ90" s="36">
        <v>0</v>
      </c>
      <c r="AK90" s="36">
        <v>0</v>
      </c>
      <c r="AL90" s="37"/>
      <c r="AM90" s="36">
        <f t="shared" si="101"/>
        <v>0</v>
      </c>
      <c r="AN90" s="37"/>
      <c r="AO90" s="36">
        <f t="shared" si="102"/>
        <v>0</v>
      </c>
      <c r="AP90" s="37"/>
      <c r="AQ90" s="36"/>
      <c r="AR90" s="37"/>
      <c r="AS90" s="36">
        <f t="shared" si="103"/>
        <v>0</v>
      </c>
      <c r="AT90" s="37"/>
      <c r="AU90" s="36">
        <f t="shared" si="104"/>
        <v>0</v>
      </c>
      <c r="AV90" s="37"/>
      <c r="AW90" s="36">
        <f t="shared" si="105"/>
        <v>0</v>
      </c>
      <c r="AX90" s="37"/>
      <c r="AY90" s="36">
        <f t="shared" si="106"/>
        <v>0</v>
      </c>
      <c r="AZ90" s="37"/>
      <c r="BA90" s="36">
        <f t="shared" si="107"/>
        <v>0</v>
      </c>
      <c r="BB90" s="37"/>
      <c r="BC90" s="36">
        <f t="shared" si="108"/>
        <v>0</v>
      </c>
      <c r="BD90" s="37"/>
      <c r="BE90" s="36">
        <f t="shared" si="109"/>
        <v>0</v>
      </c>
      <c r="BF90" s="37"/>
      <c r="BG90" s="39">
        <f t="shared" si="110"/>
        <v>0</v>
      </c>
      <c r="BH90" s="60"/>
      <c r="BI90" s="36">
        <f t="shared" si="111"/>
        <v>0</v>
      </c>
      <c r="BJ90" s="37"/>
      <c r="BK90" s="36">
        <f t="shared" si="112"/>
        <v>0</v>
      </c>
      <c r="BL90" s="37"/>
      <c r="BM90" s="36">
        <f t="shared" si="113"/>
        <v>0</v>
      </c>
      <c r="BN90" s="37"/>
      <c r="BO90" s="36">
        <f t="shared" si="114"/>
        <v>0</v>
      </c>
      <c r="BP90" s="39"/>
      <c r="BQ90" s="36"/>
      <c r="BR90" s="37"/>
      <c r="BS90" s="36">
        <f t="shared" si="115"/>
        <v>0</v>
      </c>
      <c r="BT90" s="37"/>
      <c r="BU90" s="36">
        <f t="shared" si="116"/>
        <v>0</v>
      </c>
      <c r="BV90" s="36"/>
      <c r="BW90" s="36">
        <f t="shared" si="117"/>
        <v>0</v>
      </c>
      <c r="BX90" s="37"/>
      <c r="BY90" s="36">
        <f t="shared" si="118"/>
        <v>0</v>
      </c>
      <c r="BZ90" s="37"/>
      <c r="CA90" s="36">
        <f t="shared" si="119"/>
        <v>0</v>
      </c>
      <c r="CB90" s="37"/>
      <c r="CC90" s="36">
        <f t="shared" si="120"/>
        <v>0</v>
      </c>
      <c r="CD90" s="37"/>
      <c r="CE90" s="36">
        <f t="shared" si="121"/>
        <v>0</v>
      </c>
      <c r="CF90" s="37"/>
      <c r="CG90" s="36">
        <f t="shared" si="122"/>
        <v>0</v>
      </c>
      <c r="CH90" s="37"/>
      <c r="CI90" s="36">
        <f t="shared" si="123"/>
        <v>0</v>
      </c>
      <c r="CJ90" s="36"/>
      <c r="CK90" s="36"/>
      <c r="CL90" s="36"/>
      <c r="CM90" s="36"/>
      <c r="CN90" s="41"/>
      <c r="CO90" s="41"/>
      <c r="CP90" s="42">
        <f t="shared" si="91"/>
        <v>46</v>
      </c>
      <c r="CQ90" s="42">
        <f t="shared" si="91"/>
        <v>3150087.1453333334</v>
      </c>
    </row>
    <row r="91" spans="1:139" s="3" customFormat="1" ht="18.75" hidden="1" customHeight="1" x14ac:dyDescent="0.25">
      <c r="A91" s="54"/>
      <c r="B91" s="54">
        <v>63</v>
      </c>
      <c r="C91" s="55" t="s">
        <v>259</v>
      </c>
      <c r="D91" s="109" t="s">
        <v>260</v>
      </c>
      <c r="E91" s="110">
        <v>16026</v>
      </c>
      <c r="F91" s="110">
        <v>16828</v>
      </c>
      <c r="G91" s="33">
        <v>3.14</v>
      </c>
      <c r="H91" s="34"/>
      <c r="I91" s="35">
        <v>1</v>
      </c>
      <c r="J91" s="111"/>
      <c r="K91" s="35"/>
      <c r="L91" s="65">
        <v>1.4</v>
      </c>
      <c r="M91" s="65">
        <v>1.68</v>
      </c>
      <c r="N91" s="65">
        <v>2.23</v>
      </c>
      <c r="O91" s="65">
        <v>2.57</v>
      </c>
      <c r="P91" s="36"/>
      <c r="Q91" s="36">
        <f t="shared" si="92"/>
        <v>0</v>
      </c>
      <c r="R91" s="37"/>
      <c r="S91" s="36">
        <f t="shared" si="93"/>
        <v>0</v>
      </c>
      <c r="T91" s="36"/>
      <c r="U91" s="36">
        <f t="shared" si="94"/>
        <v>0</v>
      </c>
      <c r="V91" s="36">
        <v>62</v>
      </c>
      <c r="W91" s="36">
        <f t="shared" si="95"/>
        <v>4550073.9386666669</v>
      </c>
      <c r="X91" s="37"/>
      <c r="Y91" s="38">
        <f t="shared" si="96"/>
        <v>0</v>
      </c>
      <c r="Z91" s="37"/>
      <c r="AA91" s="36"/>
      <c r="AB91" s="37"/>
      <c r="AC91" s="36">
        <f t="shared" si="97"/>
        <v>0</v>
      </c>
      <c r="AD91" s="37">
        <v>0</v>
      </c>
      <c r="AE91" s="36">
        <f t="shared" si="98"/>
        <v>0</v>
      </c>
      <c r="AF91" s="37">
        <v>0</v>
      </c>
      <c r="AG91" s="36">
        <f t="shared" si="99"/>
        <v>0</v>
      </c>
      <c r="AH91" s="37"/>
      <c r="AI91" s="36">
        <f t="shared" si="100"/>
        <v>0</v>
      </c>
      <c r="AJ91" s="36">
        <v>0</v>
      </c>
      <c r="AK91" s="36">
        <v>0</v>
      </c>
      <c r="AL91" s="37"/>
      <c r="AM91" s="36">
        <f t="shared" si="101"/>
        <v>0</v>
      </c>
      <c r="AN91" s="37"/>
      <c r="AO91" s="36">
        <f t="shared" si="102"/>
        <v>0</v>
      </c>
      <c r="AP91" s="37"/>
      <c r="AQ91" s="36"/>
      <c r="AR91" s="37"/>
      <c r="AS91" s="36">
        <f t="shared" si="103"/>
        <v>0</v>
      </c>
      <c r="AT91" s="37"/>
      <c r="AU91" s="36">
        <f t="shared" si="104"/>
        <v>0</v>
      </c>
      <c r="AV91" s="37"/>
      <c r="AW91" s="36">
        <f t="shared" si="105"/>
        <v>0</v>
      </c>
      <c r="AX91" s="37"/>
      <c r="AY91" s="36">
        <f t="shared" si="106"/>
        <v>0</v>
      </c>
      <c r="AZ91" s="37"/>
      <c r="BA91" s="36">
        <f t="shared" si="107"/>
        <v>0</v>
      </c>
      <c r="BB91" s="37"/>
      <c r="BC91" s="36">
        <f t="shared" si="108"/>
        <v>0</v>
      </c>
      <c r="BD91" s="37"/>
      <c r="BE91" s="36">
        <f t="shared" si="109"/>
        <v>0</v>
      </c>
      <c r="BF91" s="37"/>
      <c r="BG91" s="39">
        <f t="shared" si="110"/>
        <v>0</v>
      </c>
      <c r="BH91" s="60"/>
      <c r="BI91" s="36">
        <f t="shared" si="111"/>
        <v>0</v>
      </c>
      <c r="BJ91" s="37"/>
      <c r="BK91" s="36">
        <f t="shared" si="112"/>
        <v>0</v>
      </c>
      <c r="BL91" s="37"/>
      <c r="BM91" s="36">
        <f t="shared" si="113"/>
        <v>0</v>
      </c>
      <c r="BN91" s="37"/>
      <c r="BO91" s="36">
        <f t="shared" si="114"/>
        <v>0</v>
      </c>
      <c r="BP91" s="39"/>
      <c r="BQ91" s="36"/>
      <c r="BR91" s="37"/>
      <c r="BS91" s="36">
        <f t="shared" si="115"/>
        <v>0</v>
      </c>
      <c r="BT91" s="37"/>
      <c r="BU91" s="36">
        <f t="shared" si="116"/>
        <v>0</v>
      </c>
      <c r="BV91" s="36"/>
      <c r="BW91" s="36">
        <f t="shared" si="117"/>
        <v>0</v>
      </c>
      <c r="BX91" s="37"/>
      <c r="BY91" s="36">
        <f t="shared" si="118"/>
        <v>0</v>
      </c>
      <c r="BZ91" s="37"/>
      <c r="CA91" s="36">
        <f t="shared" si="119"/>
        <v>0</v>
      </c>
      <c r="CB91" s="37"/>
      <c r="CC91" s="36">
        <f t="shared" si="120"/>
        <v>0</v>
      </c>
      <c r="CD91" s="37"/>
      <c r="CE91" s="36">
        <f t="shared" si="121"/>
        <v>0</v>
      </c>
      <c r="CF91" s="37"/>
      <c r="CG91" s="36">
        <f t="shared" si="122"/>
        <v>0</v>
      </c>
      <c r="CH91" s="37"/>
      <c r="CI91" s="36">
        <f t="shared" si="123"/>
        <v>0</v>
      </c>
      <c r="CJ91" s="36"/>
      <c r="CK91" s="36"/>
      <c r="CL91" s="36"/>
      <c r="CM91" s="36"/>
      <c r="CN91" s="41"/>
      <c r="CO91" s="41"/>
      <c r="CP91" s="42">
        <f t="shared" si="91"/>
        <v>62</v>
      </c>
      <c r="CQ91" s="42">
        <f t="shared" si="91"/>
        <v>4550073.9386666669</v>
      </c>
    </row>
    <row r="92" spans="1:139" s="3" customFormat="1" ht="18.75" hidden="1" customHeight="1" x14ac:dyDescent="0.25">
      <c r="A92" s="54"/>
      <c r="B92" s="54">
        <v>64</v>
      </c>
      <c r="C92" s="55" t="s">
        <v>261</v>
      </c>
      <c r="D92" s="109" t="s">
        <v>262</v>
      </c>
      <c r="E92" s="110">
        <v>16026</v>
      </c>
      <c r="F92" s="110">
        <v>16828</v>
      </c>
      <c r="G92" s="33">
        <v>3.8</v>
      </c>
      <c r="H92" s="34"/>
      <c r="I92" s="35">
        <v>1</v>
      </c>
      <c r="J92" s="111"/>
      <c r="K92" s="35"/>
      <c r="L92" s="65">
        <v>1.4</v>
      </c>
      <c r="M92" s="65">
        <v>1.68</v>
      </c>
      <c r="N92" s="65">
        <v>2.23</v>
      </c>
      <c r="O92" s="65">
        <v>2.57</v>
      </c>
      <c r="P92" s="36"/>
      <c r="Q92" s="36">
        <f t="shared" si="92"/>
        <v>0</v>
      </c>
      <c r="R92" s="37"/>
      <c r="S92" s="36">
        <f t="shared" si="93"/>
        <v>0</v>
      </c>
      <c r="T92" s="36"/>
      <c r="U92" s="36">
        <f t="shared" si="94"/>
        <v>0</v>
      </c>
      <c r="V92" s="36">
        <f>32+20</f>
        <v>52</v>
      </c>
      <c r="W92" s="36">
        <f t="shared" si="95"/>
        <v>4618320.3733333321</v>
      </c>
      <c r="X92" s="37"/>
      <c r="Y92" s="38">
        <f t="shared" si="96"/>
        <v>0</v>
      </c>
      <c r="Z92" s="37"/>
      <c r="AA92" s="36"/>
      <c r="AB92" s="37"/>
      <c r="AC92" s="36">
        <f t="shared" si="97"/>
        <v>0</v>
      </c>
      <c r="AD92" s="37">
        <v>0</v>
      </c>
      <c r="AE92" s="36">
        <f t="shared" si="98"/>
        <v>0</v>
      </c>
      <c r="AF92" s="37">
        <v>0</v>
      </c>
      <c r="AG92" s="36">
        <f t="shared" si="99"/>
        <v>0</v>
      </c>
      <c r="AH92" s="37"/>
      <c r="AI92" s="36">
        <f t="shared" si="100"/>
        <v>0</v>
      </c>
      <c r="AJ92" s="36">
        <v>0</v>
      </c>
      <c r="AK92" s="36">
        <v>0</v>
      </c>
      <c r="AL92" s="37"/>
      <c r="AM92" s="36">
        <f t="shared" si="101"/>
        <v>0</v>
      </c>
      <c r="AN92" s="37"/>
      <c r="AO92" s="36">
        <f t="shared" si="102"/>
        <v>0</v>
      </c>
      <c r="AP92" s="37"/>
      <c r="AQ92" s="36"/>
      <c r="AR92" s="37"/>
      <c r="AS92" s="36">
        <f t="shared" si="103"/>
        <v>0</v>
      </c>
      <c r="AT92" s="37"/>
      <c r="AU92" s="36">
        <f t="shared" si="104"/>
        <v>0</v>
      </c>
      <c r="AV92" s="37"/>
      <c r="AW92" s="36">
        <f t="shared" si="105"/>
        <v>0</v>
      </c>
      <c r="AX92" s="37"/>
      <c r="AY92" s="36">
        <f t="shared" si="106"/>
        <v>0</v>
      </c>
      <c r="AZ92" s="37"/>
      <c r="BA92" s="36">
        <f t="shared" si="107"/>
        <v>0</v>
      </c>
      <c r="BB92" s="37"/>
      <c r="BC92" s="36">
        <f t="shared" si="108"/>
        <v>0</v>
      </c>
      <c r="BD92" s="37"/>
      <c r="BE92" s="36">
        <f t="shared" si="109"/>
        <v>0</v>
      </c>
      <c r="BF92" s="37"/>
      <c r="BG92" s="39">
        <f t="shared" si="110"/>
        <v>0</v>
      </c>
      <c r="BH92" s="60"/>
      <c r="BI92" s="36">
        <f t="shared" si="111"/>
        <v>0</v>
      </c>
      <c r="BJ92" s="37"/>
      <c r="BK92" s="36">
        <f t="shared" si="112"/>
        <v>0</v>
      </c>
      <c r="BL92" s="37"/>
      <c r="BM92" s="36">
        <f t="shared" si="113"/>
        <v>0</v>
      </c>
      <c r="BN92" s="37"/>
      <c r="BO92" s="36">
        <f t="shared" si="114"/>
        <v>0</v>
      </c>
      <c r="BP92" s="39"/>
      <c r="BQ92" s="36"/>
      <c r="BR92" s="37"/>
      <c r="BS92" s="36">
        <f t="shared" si="115"/>
        <v>0</v>
      </c>
      <c r="BT92" s="37"/>
      <c r="BU92" s="36">
        <f t="shared" si="116"/>
        <v>0</v>
      </c>
      <c r="BV92" s="36"/>
      <c r="BW92" s="36">
        <f t="shared" si="117"/>
        <v>0</v>
      </c>
      <c r="BX92" s="37"/>
      <c r="BY92" s="36">
        <f t="shared" si="118"/>
        <v>0</v>
      </c>
      <c r="BZ92" s="37"/>
      <c r="CA92" s="36">
        <f t="shared" si="119"/>
        <v>0</v>
      </c>
      <c r="CB92" s="37"/>
      <c r="CC92" s="36">
        <f t="shared" si="120"/>
        <v>0</v>
      </c>
      <c r="CD92" s="37"/>
      <c r="CE92" s="36">
        <f t="shared" si="121"/>
        <v>0</v>
      </c>
      <c r="CF92" s="37"/>
      <c r="CG92" s="36">
        <f t="shared" si="122"/>
        <v>0</v>
      </c>
      <c r="CH92" s="37"/>
      <c r="CI92" s="36">
        <f t="shared" si="123"/>
        <v>0</v>
      </c>
      <c r="CJ92" s="36"/>
      <c r="CK92" s="36"/>
      <c r="CL92" s="36"/>
      <c r="CM92" s="36"/>
      <c r="CN92" s="41"/>
      <c r="CO92" s="41"/>
      <c r="CP92" s="42">
        <f t="shared" si="91"/>
        <v>52</v>
      </c>
      <c r="CQ92" s="42">
        <f t="shared" si="91"/>
        <v>4618320.3733333321</v>
      </c>
    </row>
    <row r="93" spans="1:139" s="3" customFormat="1" ht="18.75" hidden="1" customHeight="1" x14ac:dyDescent="0.25">
      <c r="A93" s="54"/>
      <c r="B93" s="54">
        <v>65</v>
      </c>
      <c r="C93" s="55" t="s">
        <v>263</v>
      </c>
      <c r="D93" s="109" t="s">
        <v>264</v>
      </c>
      <c r="E93" s="110">
        <v>16026</v>
      </c>
      <c r="F93" s="110">
        <v>16828</v>
      </c>
      <c r="G93" s="33">
        <v>4.7</v>
      </c>
      <c r="H93" s="34"/>
      <c r="I93" s="35">
        <v>1</v>
      </c>
      <c r="J93" s="111"/>
      <c r="K93" s="35"/>
      <c r="L93" s="65">
        <v>1.4</v>
      </c>
      <c r="M93" s="65">
        <v>1.68</v>
      </c>
      <c r="N93" s="65">
        <v>2.23</v>
      </c>
      <c r="O93" s="65">
        <v>2.57</v>
      </c>
      <c r="P93" s="36"/>
      <c r="Q93" s="36">
        <f t="shared" si="92"/>
        <v>0</v>
      </c>
      <c r="R93" s="37"/>
      <c r="S93" s="36">
        <f t="shared" si="93"/>
        <v>0</v>
      </c>
      <c r="T93" s="36"/>
      <c r="U93" s="36">
        <f t="shared" si="94"/>
        <v>0</v>
      </c>
      <c r="V93" s="36">
        <v>410</v>
      </c>
      <c r="W93" s="36">
        <f t="shared" si="95"/>
        <v>45037972.466666661</v>
      </c>
      <c r="X93" s="37"/>
      <c r="Y93" s="38">
        <f t="shared" si="96"/>
        <v>0</v>
      </c>
      <c r="Z93" s="37"/>
      <c r="AA93" s="36"/>
      <c r="AB93" s="37"/>
      <c r="AC93" s="36">
        <f t="shared" si="97"/>
        <v>0</v>
      </c>
      <c r="AD93" s="37">
        <v>0</v>
      </c>
      <c r="AE93" s="36">
        <f t="shared" si="98"/>
        <v>0</v>
      </c>
      <c r="AF93" s="37">
        <v>0</v>
      </c>
      <c r="AG93" s="36">
        <f t="shared" si="99"/>
        <v>0</v>
      </c>
      <c r="AH93" s="37"/>
      <c r="AI93" s="36">
        <f t="shared" si="100"/>
        <v>0</v>
      </c>
      <c r="AJ93" s="36">
        <v>0</v>
      </c>
      <c r="AK93" s="36">
        <v>0</v>
      </c>
      <c r="AL93" s="37"/>
      <c r="AM93" s="36">
        <f t="shared" si="101"/>
        <v>0</v>
      </c>
      <c r="AN93" s="37"/>
      <c r="AO93" s="36">
        <f t="shared" si="102"/>
        <v>0</v>
      </c>
      <c r="AP93" s="37"/>
      <c r="AQ93" s="36"/>
      <c r="AR93" s="37"/>
      <c r="AS93" s="36">
        <f t="shared" si="103"/>
        <v>0</v>
      </c>
      <c r="AT93" s="37"/>
      <c r="AU93" s="36">
        <f t="shared" si="104"/>
        <v>0</v>
      </c>
      <c r="AV93" s="37"/>
      <c r="AW93" s="36">
        <f t="shared" si="105"/>
        <v>0</v>
      </c>
      <c r="AX93" s="37"/>
      <c r="AY93" s="36">
        <f t="shared" si="106"/>
        <v>0</v>
      </c>
      <c r="AZ93" s="37"/>
      <c r="BA93" s="36">
        <f t="shared" si="107"/>
        <v>0</v>
      </c>
      <c r="BB93" s="37"/>
      <c r="BC93" s="36">
        <f t="shared" si="108"/>
        <v>0</v>
      </c>
      <c r="BD93" s="37"/>
      <c r="BE93" s="36">
        <f t="shared" si="109"/>
        <v>0</v>
      </c>
      <c r="BF93" s="37"/>
      <c r="BG93" s="39">
        <f t="shared" si="110"/>
        <v>0</v>
      </c>
      <c r="BH93" s="60"/>
      <c r="BI93" s="36">
        <f t="shared" si="111"/>
        <v>0</v>
      </c>
      <c r="BJ93" s="37"/>
      <c r="BK93" s="36">
        <f t="shared" si="112"/>
        <v>0</v>
      </c>
      <c r="BL93" s="37"/>
      <c r="BM93" s="36">
        <f t="shared" si="113"/>
        <v>0</v>
      </c>
      <c r="BN93" s="37"/>
      <c r="BO93" s="36">
        <f t="shared" si="114"/>
        <v>0</v>
      </c>
      <c r="BP93" s="39"/>
      <c r="BQ93" s="36"/>
      <c r="BR93" s="37"/>
      <c r="BS93" s="36">
        <f t="shared" si="115"/>
        <v>0</v>
      </c>
      <c r="BT93" s="37"/>
      <c r="BU93" s="36">
        <f t="shared" si="116"/>
        <v>0</v>
      </c>
      <c r="BV93" s="36"/>
      <c r="BW93" s="36">
        <f t="shared" si="117"/>
        <v>0</v>
      </c>
      <c r="BX93" s="37"/>
      <c r="BY93" s="36">
        <f t="shared" si="118"/>
        <v>0</v>
      </c>
      <c r="BZ93" s="37"/>
      <c r="CA93" s="36">
        <f t="shared" si="119"/>
        <v>0</v>
      </c>
      <c r="CB93" s="37"/>
      <c r="CC93" s="36">
        <f t="shared" si="120"/>
        <v>0</v>
      </c>
      <c r="CD93" s="37"/>
      <c r="CE93" s="36">
        <f t="shared" si="121"/>
        <v>0</v>
      </c>
      <c r="CF93" s="37"/>
      <c r="CG93" s="36">
        <f t="shared" si="122"/>
        <v>0</v>
      </c>
      <c r="CH93" s="37"/>
      <c r="CI93" s="36">
        <f t="shared" si="123"/>
        <v>0</v>
      </c>
      <c r="CJ93" s="36"/>
      <c r="CK93" s="36"/>
      <c r="CL93" s="36"/>
      <c r="CM93" s="36"/>
      <c r="CN93" s="41"/>
      <c r="CO93" s="41"/>
      <c r="CP93" s="42">
        <f t="shared" si="91"/>
        <v>410</v>
      </c>
      <c r="CQ93" s="42">
        <f t="shared" si="91"/>
        <v>45037972.466666661</v>
      </c>
    </row>
    <row r="94" spans="1:139" s="3" customFormat="1" ht="30.75" hidden="1" customHeight="1" x14ac:dyDescent="0.25">
      <c r="A94" s="54"/>
      <c r="B94" s="54">
        <v>66</v>
      </c>
      <c r="C94" s="55" t="s">
        <v>265</v>
      </c>
      <c r="D94" s="109" t="s">
        <v>266</v>
      </c>
      <c r="E94" s="110">
        <v>16026</v>
      </c>
      <c r="F94" s="110">
        <v>16828</v>
      </c>
      <c r="G94" s="33">
        <v>22.62</v>
      </c>
      <c r="H94" s="72">
        <v>3.6600000000000001E-2</v>
      </c>
      <c r="I94" s="35">
        <v>1</v>
      </c>
      <c r="J94" s="111"/>
      <c r="K94" s="35"/>
      <c r="L94" s="65">
        <v>1.4</v>
      </c>
      <c r="M94" s="65">
        <v>1.68</v>
      </c>
      <c r="N94" s="65">
        <v>2.23</v>
      </c>
      <c r="O94" s="65">
        <v>2.57</v>
      </c>
      <c r="P94" s="36"/>
      <c r="Q94" s="48">
        <f>(P94/12*2*$E94*$G94*((1-$H94)+$H94*$L94*$I94))+(P94/12*10*$F94*$G94*((1-$H94)+$H94*$L94*$I94))</f>
        <v>0</v>
      </c>
      <c r="R94" s="37"/>
      <c r="S94" s="48">
        <f>(R94/12*2*$E94*$G94*((1-$H94)+$H94*$L94*$I94))+(R94/12*10*$F94*$G94*((1-$H94)+$H94*$L94*$I94))</f>
        <v>0</v>
      </c>
      <c r="T94" s="36"/>
      <c r="U94" s="48">
        <f>(T94/12*2*$E94*$G94*((1-$H94)+$H94*$L94*$I94))+(T94/12*10*$F94*$G94*((1-$H94)+$H94*$L94*$I94))</f>
        <v>0</v>
      </c>
      <c r="V94" s="36">
        <v>37</v>
      </c>
      <c r="W94" s="48">
        <f>(V94/12*2*$E94*$G94*((1-$H94)+$H94*$L94*$I94))+(V94/12*10*$F94*$G94*((1-$H94)+$H94*$L94*$I94))</f>
        <v>14176707.694177601</v>
      </c>
      <c r="X94" s="37"/>
      <c r="Y94" s="48">
        <f>(X94/12*2*$E94*$G94*((1-$H94)+$H94*$L94*$I94))+(X94/12*10*$F94*$G94*((1-$H94)+$H94*$L94*$I94))</f>
        <v>0</v>
      </c>
      <c r="Z94" s="37"/>
      <c r="AA94" s="48">
        <f>(Z94/12*2*$E94*$G94*((1-$H94)+$H94*$L94*$I94))+(Z94/12*10*$F94*$G94*((1-$H94)+$H94*$L94*$I94))</f>
        <v>0</v>
      </c>
      <c r="AB94" s="37"/>
      <c r="AC94" s="36"/>
      <c r="AD94" s="37">
        <v>0</v>
      </c>
      <c r="AE94" s="48">
        <f>(AD94/12*2*$E94*$G94*((1-$H94)+$H94*$L94*$I94))+(AD94/12*10*$F94*$G94*((1-$H94)+$H94*$L94*$I94))</f>
        <v>0</v>
      </c>
      <c r="AF94" s="37">
        <v>0</v>
      </c>
      <c r="AG94" s="48">
        <f>(AF94/12*2*$E94*$G94*((1-$H94)+$H94*$M94*$I94))+(AF94/12*10*$F94*$G94*((1-$H94)+$H94*$M94*$I94))</f>
        <v>0</v>
      </c>
      <c r="AH94" s="37"/>
      <c r="AI94" s="48">
        <f>(AH94/12*2*$E94*$G94*((1-$H94)+$H94*$M94*$I94))+(AH94/12*10*$F94*$G94*((1-$H94)+$H94*$M94*$I94))</f>
        <v>0</v>
      </c>
      <c r="AJ94" s="48">
        <v>0</v>
      </c>
      <c r="AK94" s="48">
        <v>0</v>
      </c>
      <c r="AL94" s="37"/>
      <c r="AM94" s="36"/>
      <c r="AN94" s="37"/>
      <c r="AO94" s="36"/>
      <c r="AP94" s="37"/>
      <c r="AQ94" s="36"/>
      <c r="AR94" s="37"/>
      <c r="AS94" s="48"/>
      <c r="AT94" s="37"/>
      <c r="AU94" s="36"/>
      <c r="AV94" s="37"/>
      <c r="AW94" s="48"/>
      <c r="AX94" s="37"/>
      <c r="AY94" s="48"/>
      <c r="AZ94" s="37"/>
      <c r="BA94" s="48"/>
      <c r="BB94" s="37"/>
      <c r="BC94" s="36"/>
      <c r="BD94" s="37"/>
      <c r="BE94" s="48">
        <f>(BD94/12*2*$E94*$G94*((1-$H94)+$H94*$L94*$I94*BE$9))+(BD94/12*10*$F94*$G94*((1-$H94)+$H94*$L94*$I94*BE$9))</f>
        <v>0</v>
      </c>
      <c r="BF94" s="37"/>
      <c r="BG94" s="48">
        <f>(BF94/12*2*$E94*$G94*((1-$H94)+$H94*$M94*$I94*BG$9))+(BF94/12*10*$F94*$G94*((1-$H94)+$H94*$M94*$I94*BG$9))</f>
        <v>0</v>
      </c>
      <c r="BH94" s="63"/>
      <c r="BI94" s="48">
        <f>(BH94/12*2*$E94*$G94*((1-$H94)+$H94*$M94*$I94*BI$9))+(BH94/12*10*$F94*$G94*((1-$H94)+$H94*$M94*$I94*BI$9))</f>
        <v>0</v>
      </c>
      <c r="BJ94" s="37"/>
      <c r="BK94" s="48">
        <f>(BJ94/12*2*$E94*$G94*((1-$H94)+$H94*$M94*$I94*BK$9))+(BJ94/12*10*$F94*$G94*((1-$H94)+$H94*$M94*$I94*BK$9))</f>
        <v>0</v>
      </c>
      <c r="BL94" s="37"/>
      <c r="BM94" s="48">
        <f>(BL94/12*2*$E94*$G94*((1-$H94)+$H94*$M94*$I94*BM$9))+(BL94/12*10*$F94*$G94*((1-$H94)+$H94*$M94*$I94*BM$9))</f>
        <v>0</v>
      </c>
      <c r="BN94" s="37"/>
      <c r="BO94" s="48">
        <f>(BN94/12*10*$F94*$G94*((1-$H94)+$H94*$M94*$I94*BO$9))</f>
        <v>0</v>
      </c>
      <c r="BP94" s="39"/>
      <c r="BQ94" s="36"/>
      <c r="BR94" s="37"/>
      <c r="BS94" s="48">
        <f>(BR94/12*10*$F94*$G94*((1-$H94)+$H94*$M94*$I94*BS$9))</f>
        <v>0</v>
      </c>
      <c r="BT94" s="37"/>
      <c r="BU94" s="48">
        <f>(BT94/12*2*$E94*$G94*((1-$H94)+$H94*$M94*$I94*BU$9))+(BT94/12*10*$F94*$G94*((1-$H94)+$H94*$M94*$I94*BU$9))</f>
        <v>0</v>
      </c>
      <c r="BV94" s="36"/>
      <c r="BW94" s="48">
        <f>(BV94/12*2*$E94*$G94*((1-$H94)+$H94*$M94*$I94*BW$9))+(BV94/12*10*$F94*$G94*((1-$H94)+$H94*$M94*$I94*BW$9))</f>
        <v>0</v>
      </c>
      <c r="BX94" s="37"/>
      <c r="BY94" s="48">
        <f>(BX94/12*2*$E94*$G94*((1-$H94)+$H94*$M94*$I94*BY$9))+(BX94/12*10*$F94*$G94*((1-$H94)+$H94*$M94*$I94*BY$9))</f>
        <v>0</v>
      </c>
      <c r="BZ94" s="37"/>
      <c r="CA94" s="48">
        <f>(BZ94/12*2*$E94*$G94*((1-$H94)+$H94*$M94*$I94*CA$9))+(BZ94/12*10*$F94*$G94*((1-$H94)+$H94*$M94*$I94*CA$9))</f>
        <v>0</v>
      </c>
      <c r="CB94" s="37"/>
      <c r="CC94" s="48">
        <f>(CB94/12*2*$E94*$G94*((1-$H94)+$H94*$M94*$I94*CC$9))+(CB94/12*10*$F94*$G94*((1-$H94)+$H94*$M94*$I94*CC$9))</f>
        <v>0</v>
      </c>
      <c r="CD94" s="37"/>
      <c r="CE94" s="48">
        <f>(CD94/12*2*$E94*$G94*((1-$H94)+$H94*$M94*$I94*CE$9))+(CD94/12*10*$F94*$G94*((1-$H94)+$H94*$M94*$I94*CE$9))</f>
        <v>0</v>
      </c>
      <c r="CF94" s="37"/>
      <c r="CG94" s="48">
        <f>(CF94/12*2*$E94*$G94*((1-$H94)+$H94*$N94*$I94*CG$9))+(CF94/12*10*$F94*$G94*((1-$H94)+$H94*$N94*$I94*CG$9))</f>
        <v>0</v>
      </c>
      <c r="CH94" s="37"/>
      <c r="CI94" s="48">
        <f>(CH94/12*2*$E94*$G94*((1-$H94)+$H94*$O94*$I94))+(CH94/12*10*$F94*$G94*((1-$H94)+$H94*$O94*$I94))</f>
        <v>0</v>
      </c>
      <c r="CJ94" s="36"/>
      <c r="CK94" s="36"/>
      <c r="CL94" s="36"/>
      <c r="CM94" s="36"/>
      <c r="CN94" s="41"/>
      <c r="CO94" s="41"/>
      <c r="CP94" s="42">
        <f t="shared" si="91"/>
        <v>37</v>
      </c>
      <c r="CQ94" s="42">
        <f t="shared" si="91"/>
        <v>14176707.694177601</v>
      </c>
    </row>
    <row r="95" spans="1:139" s="3" customFormat="1" ht="30" hidden="1" customHeight="1" x14ac:dyDescent="0.25">
      <c r="A95" s="54"/>
      <c r="B95" s="54">
        <v>67</v>
      </c>
      <c r="C95" s="55" t="s">
        <v>267</v>
      </c>
      <c r="D95" s="109" t="s">
        <v>268</v>
      </c>
      <c r="E95" s="110">
        <v>16026</v>
      </c>
      <c r="F95" s="110">
        <v>16828</v>
      </c>
      <c r="G95" s="57">
        <v>4.09</v>
      </c>
      <c r="H95" s="72">
        <v>0.78380000000000005</v>
      </c>
      <c r="I95" s="35">
        <v>1</v>
      </c>
      <c r="J95" s="111"/>
      <c r="K95" s="35"/>
      <c r="L95" s="65">
        <v>1.4</v>
      </c>
      <c r="M95" s="65">
        <v>1.68</v>
      </c>
      <c r="N95" s="65">
        <v>2.23</v>
      </c>
      <c r="O95" s="65">
        <v>2.57</v>
      </c>
      <c r="P95" s="36"/>
      <c r="Q95" s="48">
        <f>(P95/12*2*$E95*$G95*((1-$H95)+$H95*$L95*$I95))+(P95/12*10*$F95*$G95*((1-$H95)+$H95*$L95*$I95))</f>
        <v>0</v>
      </c>
      <c r="R95" s="37"/>
      <c r="S95" s="48">
        <f>(R95/12*2*$E95*$G95*((1-$H95)+$H95*$L95*$I95))+(R95/12*10*$F95*$G95*((1-$H95)+$H95*$L95*$I95))</f>
        <v>0</v>
      </c>
      <c r="T95" s="36"/>
      <c r="U95" s="48">
        <f>(T95/12*2*$E95*$G95*((1-$H95)+$H95*$L95*$I95))+(T95/12*10*$F95*$G95*((1-$H95)+$H95*$L95*$I95))</f>
        <v>0</v>
      </c>
      <c r="V95" s="36">
        <v>0</v>
      </c>
      <c r="W95" s="48">
        <f>(V95/12*2*$E95*$G95*((1-$H95)+$H95*$L95*$I95))+(V95/12*10*$F95*$G95*((1-$H95)+$H95*$L95*$I95))</f>
        <v>0</v>
      </c>
      <c r="X95" s="37"/>
      <c r="Y95" s="48">
        <f>(X95/12*2*$E95*$G95*((1-$H95)+$H95*$L95*$I95))+(X95/12*10*$F95*$G95*((1-$H95)+$H95*$L95*$I95))</f>
        <v>0</v>
      </c>
      <c r="Z95" s="37"/>
      <c r="AA95" s="48">
        <f>(Z95/12*2*$E95*$G95*((1-$H95)+$H95*$L95*$I95))+(Z95/12*10*$F95*$G95*((1-$H95)+$H95*$L95*$I95))</f>
        <v>0</v>
      </c>
      <c r="AB95" s="37"/>
      <c r="AC95" s="36"/>
      <c r="AD95" s="37">
        <v>0</v>
      </c>
      <c r="AE95" s="48">
        <f>(AD95/12*2*$E95*$G95*((1-$H95)+$H95*$L95*$I95))+(AD95/12*10*$F95*$G95*((1-$H95)+$H95*$L95*$I95))</f>
        <v>0</v>
      </c>
      <c r="AF95" s="37">
        <v>0</v>
      </c>
      <c r="AG95" s="48">
        <f>(AF95/12*2*$E95*$G95*((1-$H95)+$H95*$M95*$I95))+(AF95/12*10*$F95*$G95*((1-$H95)+$H95*$M95*$I95))</f>
        <v>0</v>
      </c>
      <c r="AH95" s="37"/>
      <c r="AI95" s="48">
        <f>(AH95/12*2*$E95*$G95*((1-$H95)+$H95*$M95*$I95))+(AH95/12*10*$F95*$G95*((1-$H95)+$H95*$M95*$I95))</f>
        <v>0</v>
      </c>
      <c r="AJ95" s="48">
        <v>0</v>
      </c>
      <c r="AK95" s="48">
        <v>0</v>
      </c>
      <c r="AL95" s="37"/>
      <c r="AM95" s="36"/>
      <c r="AN95" s="37"/>
      <c r="AO95" s="36"/>
      <c r="AP95" s="37"/>
      <c r="AQ95" s="36"/>
      <c r="AR95" s="37"/>
      <c r="AS95" s="48"/>
      <c r="AT95" s="37"/>
      <c r="AU95" s="36"/>
      <c r="AV95" s="37"/>
      <c r="AW95" s="48"/>
      <c r="AX95" s="37"/>
      <c r="AY95" s="48"/>
      <c r="AZ95" s="37"/>
      <c r="BA95" s="48"/>
      <c r="BB95" s="37"/>
      <c r="BC95" s="48"/>
      <c r="BD95" s="37"/>
      <c r="BE95" s="48">
        <f>(BD95/12*2*$E95*$G95*((1-$H95)+$H95*$L95*$I95*BE$9))+(BD95/12*10*$F95*$G95*((1-$H95)+$H95*$L95*$I95*BE$9))</f>
        <v>0</v>
      </c>
      <c r="BF95" s="37"/>
      <c r="BG95" s="48">
        <f>(BF95/12*2*$E95*$G95*((1-$H95)+$H95*$M95*$I95*BG$9))+(BF95/12*10*$F95*$G95*((1-$H95)+$H95*$M95*$I95*BG$9))</f>
        <v>0</v>
      </c>
      <c r="BH95" s="63"/>
      <c r="BI95" s="48">
        <f>(BH95/12*2*$E95*$G95*((1-$H95)+$H95*$M95*$I95*BI$9))+(BH95/12*10*$F95*$G95*((1-$H95)+$H95*$M95*$I95*BI$9))</f>
        <v>0</v>
      </c>
      <c r="BJ95" s="37"/>
      <c r="BK95" s="48">
        <f>(BJ95/12*2*$E95*$G95*((1-$H95)+$H95*$M95*$I95*BK$9))+(BJ95/12*10*$F95*$G95*((1-$H95)+$H95*$M95*$I95*BK$9))</f>
        <v>0</v>
      </c>
      <c r="BL95" s="37"/>
      <c r="BM95" s="48">
        <f>(BL95/12*2*$E95*$G95*((1-$H95)+$H95*$M95*$I95*BM$9))+(BL95/12*10*$F95*$G95*((1-$H95)+$H95*$M95*$I95*BM$9))</f>
        <v>0</v>
      </c>
      <c r="BN95" s="37"/>
      <c r="BO95" s="48">
        <f>(BN95/12*10*$F95*$G95*((1-$H95)+$H95*$M95*$I95*BO$9))</f>
        <v>0</v>
      </c>
      <c r="BP95" s="39"/>
      <c r="BQ95" s="48"/>
      <c r="BR95" s="37"/>
      <c r="BS95" s="48">
        <f>(BR95/12*10*$F95*$G95*((1-$H95)+$H95*$M95*$I95*BS$9))</f>
        <v>0</v>
      </c>
      <c r="BT95" s="37"/>
      <c r="BU95" s="48">
        <f>(BT95/12*2*$E95*$G95*((1-$H95)+$H95*$M95*$I95*BU$9))+(BT95/12*10*$F95*$G95*((1-$H95)+$H95*$M95*$I95*BU$9))</f>
        <v>0</v>
      </c>
      <c r="BV95" s="36"/>
      <c r="BW95" s="48">
        <f>(BV95/12*2*$E95*$G95*((1-$H95)+$H95*$M95*$I95*BW$9))+(BV95/12*10*$F95*$G95*((1-$H95)+$H95*$M95*$I95*BW$9))</f>
        <v>0</v>
      </c>
      <c r="BX95" s="37"/>
      <c r="BY95" s="48">
        <f>(BX95/12*2*$E95*$G95*((1-$H95)+$H95*$M95*$I95*BY$9))+(BX95/12*10*$F95*$G95*((1-$H95)+$H95*$M95*$I95*BY$9))</f>
        <v>0</v>
      </c>
      <c r="BZ95" s="37"/>
      <c r="CA95" s="48">
        <f>(BZ95/12*2*$E95*$G95*((1-$H95)+$H95*$M95*$I95*CA$9))+(BZ95/12*10*$F95*$G95*((1-$H95)+$H95*$M95*$I95*CA$9))</f>
        <v>0</v>
      </c>
      <c r="CB95" s="37"/>
      <c r="CC95" s="48">
        <f>(CB95/12*2*$E95*$G95*((1-$H95)+$H95*$M95*$I95*CC$9))+(CB95/12*10*$F95*$G95*((1-$H95)+$H95*$M95*$I95*CC$9))</f>
        <v>0</v>
      </c>
      <c r="CD95" s="37"/>
      <c r="CE95" s="48">
        <f>(CD95/12*2*$E95*$G95*((1-$H95)+$H95*$M95*$I95*CE$9))+(CD95/12*10*$F95*$G95*((1-$H95)+$H95*$M95*$I95*CE$9))</f>
        <v>0</v>
      </c>
      <c r="CF95" s="37"/>
      <c r="CG95" s="48">
        <f>(CF95/12*2*$E95*$G95*((1-$H95)+$H95*$N95*$I95*CG$9))+(CF95/12*10*$F95*$G95*((1-$H95)+$H95*$N95*$I95*CG$9))</f>
        <v>0</v>
      </c>
      <c r="CH95" s="37"/>
      <c r="CI95" s="48">
        <f>(CH95/12*2*$E95*$G95*((1-$H95)+$H95*$O95*$I95))+(CH95/12*10*$F95*$G95*((1-$H95)+$H95*$O95*$I95))</f>
        <v>0</v>
      </c>
      <c r="CJ95" s="36"/>
      <c r="CK95" s="36"/>
      <c r="CL95" s="36"/>
      <c r="CM95" s="36"/>
      <c r="CN95" s="41"/>
      <c r="CO95" s="41"/>
      <c r="CP95" s="42">
        <f t="shared" si="91"/>
        <v>0</v>
      </c>
      <c r="CQ95" s="42">
        <f t="shared" si="91"/>
        <v>0</v>
      </c>
    </row>
    <row r="96" spans="1:139" s="3" customFormat="1" ht="30" hidden="1" customHeight="1" x14ac:dyDescent="0.25">
      <c r="A96" s="54"/>
      <c r="B96" s="54">
        <v>68</v>
      </c>
      <c r="C96" s="55" t="s">
        <v>269</v>
      </c>
      <c r="D96" s="109" t="s">
        <v>270</v>
      </c>
      <c r="E96" s="110">
        <v>16026</v>
      </c>
      <c r="F96" s="110">
        <v>16828</v>
      </c>
      <c r="G96" s="57">
        <v>4.96</v>
      </c>
      <c r="H96" s="72">
        <v>0.82640000000000002</v>
      </c>
      <c r="I96" s="35">
        <v>1</v>
      </c>
      <c r="J96" s="111"/>
      <c r="K96" s="35"/>
      <c r="L96" s="65">
        <v>1.4</v>
      </c>
      <c r="M96" s="65">
        <v>1.68</v>
      </c>
      <c r="N96" s="65">
        <v>2.23</v>
      </c>
      <c r="O96" s="65">
        <v>2.57</v>
      </c>
      <c r="P96" s="36"/>
      <c r="Q96" s="48">
        <f>(P96/12*2*$E96*$G96*((1-$H96)+$H96*$L96*$I96))+(P96/12*10*$F96*$G96*((1-$H96)+$H96*$L96*$I96))</f>
        <v>0</v>
      </c>
      <c r="R96" s="37"/>
      <c r="S96" s="48">
        <f>(R96/12*2*$E96*$G96*((1-$H96)+$H96*$L96*$I96))+(R96/12*10*$F96*$G96*((1-$H96)+$H96*$L96*$I96))</f>
        <v>0</v>
      </c>
      <c r="T96" s="36"/>
      <c r="U96" s="48">
        <f>(T96/12*2*$E96*$G96*((1-$H96)+$H96*$L96*$I96))+(T96/12*10*$F96*$G96*((1-$H96)+$H96*$L96*$I96))</f>
        <v>0</v>
      </c>
      <c r="V96" s="36">
        <v>140</v>
      </c>
      <c r="W96" s="48">
        <f>(V96/12*2*$E96*$G96*((1-$H96)+$H96*$L96*$I96))+(V96/12*10*$F96*$G96*((1-$H96)+$H96*$L96*$I96))</f>
        <v>15424576.763904</v>
      </c>
      <c r="X96" s="37"/>
      <c r="Y96" s="48">
        <f>(X96/12*2*$E96*$G96*((1-$H96)+$H96*$L96*$I96))+(X96/12*10*$F96*$G96*((1-$H96)+$H96*$L96*$I96))</f>
        <v>0</v>
      </c>
      <c r="Z96" s="37"/>
      <c r="AA96" s="48">
        <f>(Z96/12*2*$E96*$G96*((1-$H96)+$H96*$L96*$I96))+(Z96/12*10*$F96*$G96*((1-$H96)+$H96*$L96*$I96))</f>
        <v>0</v>
      </c>
      <c r="AB96" s="37"/>
      <c r="AC96" s="36"/>
      <c r="AD96" s="37">
        <v>0</v>
      </c>
      <c r="AE96" s="48">
        <f>(AD96/12*2*$E96*$G96*((1-$H96)+$H96*$L96*$I96))+(AD96/12*10*$F96*$G96*((1-$H96)+$H96*$L96*$I96))</f>
        <v>0</v>
      </c>
      <c r="AF96" s="37">
        <v>0</v>
      </c>
      <c r="AG96" s="48">
        <f>(AF96/12*2*$E96*$G96*((1-$H96)+$H96*$M96*$I96))+(AF96/12*10*$F96*$G96*((1-$H96)+$H96*$M96*$I96))</f>
        <v>0</v>
      </c>
      <c r="AH96" s="37"/>
      <c r="AI96" s="48">
        <f>(AH96/12*2*$E96*$G96*((1-$H96)+$H96*$M96*$I96))+(AH96/12*10*$F96*$G96*((1-$H96)+$H96*$M96*$I96))</f>
        <v>0</v>
      </c>
      <c r="AJ96" s="48">
        <v>0</v>
      </c>
      <c r="AK96" s="48">
        <v>0</v>
      </c>
      <c r="AL96" s="37"/>
      <c r="AM96" s="36"/>
      <c r="AN96" s="37"/>
      <c r="AO96" s="36"/>
      <c r="AP96" s="37"/>
      <c r="AQ96" s="36"/>
      <c r="AR96" s="37"/>
      <c r="AS96" s="48"/>
      <c r="AT96" s="37"/>
      <c r="AU96" s="36"/>
      <c r="AV96" s="37"/>
      <c r="AW96" s="48"/>
      <c r="AX96" s="37"/>
      <c r="AY96" s="48"/>
      <c r="AZ96" s="37"/>
      <c r="BA96" s="48"/>
      <c r="BB96" s="37"/>
      <c r="BC96" s="48"/>
      <c r="BD96" s="37"/>
      <c r="BE96" s="48">
        <f>(BD96/12*2*$E96*$G96*((1-$H96)+$H96*$L96*$I96*BE$9))+(BD96/12*10*$F96*$G96*((1-$H96)+$H96*$L96*$I96*BE$9))</f>
        <v>0</v>
      </c>
      <c r="BF96" s="37"/>
      <c r="BG96" s="48">
        <f>(BF96/12*2*$E96*$G96*((1-$H96)+$H96*$M96*$I96*BG$9))+(BF96/12*10*$F96*$G96*((1-$H96)+$H96*$M96*$I96*BG$9))</f>
        <v>0</v>
      </c>
      <c r="BH96" s="63"/>
      <c r="BI96" s="48">
        <f>(BH96/12*2*$E96*$G96*((1-$H96)+$H96*$M96*$I96*BI$9))+(BH96/12*10*$F96*$G96*((1-$H96)+$H96*$M96*$I96*BI$9))</f>
        <v>0</v>
      </c>
      <c r="BJ96" s="37"/>
      <c r="BK96" s="48">
        <f>(BJ96/12*2*$E96*$G96*((1-$H96)+$H96*$M96*$I96*BK$9))+(BJ96/12*10*$F96*$G96*((1-$H96)+$H96*$M96*$I96*BK$9))</f>
        <v>0</v>
      </c>
      <c r="BL96" s="37"/>
      <c r="BM96" s="48">
        <f>(BL96/12*2*$E96*$G96*((1-$H96)+$H96*$M96*$I96*BM$9))+(BL96/12*10*$F96*$G96*((1-$H96)+$H96*$M96*$I96*BM$9))</f>
        <v>0</v>
      </c>
      <c r="BN96" s="37"/>
      <c r="BO96" s="48">
        <f>(BN96/12*10*$F96*$G96*((1-$H96)+$H96*$M96*$I96*BO$9))</f>
        <v>0</v>
      </c>
      <c r="BP96" s="39"/>
      <c r="BQ96" s="48"/>
      <c r="BR96" s="37"/>
      <c r="BS96" s="48">
        <f>(BR96/12*10*$F96*$G96*((1-$H96)+$H96*$M96*$I96*BS$9))</f>
        <v>0</v>
      </c>
      <c r="BT96" s="37"/>
      <c r="BU96" s="48">
        <f>(BT96/12*2*$E96*$G96*((1-$H96)+$H96*$M96*$I96*BU$9))+(BT96/12*10*$F96*$G96*((1-$H96)+$H96*$M96*$I96*BU$9))</f>
        <v>0</v>
      </c>
      <c r="BV96" s="36"/>
      <c r="BW96" s="48">
        <f>(BV96/12*2*$E96*$G96*((1-$H96)+$H96*$M96*$I96*BW$9))+(BV96/12*10*$F96*$G96*((1-$H96)+$H96*$M96*$I96*BW$9))</f>
        <v>0</v>
      </c>
      <c r="BX96" s="37"/>
      <c r="BY96" s="48">
        <f>(BX96/12*2*$E96*$G96*((1-$H96)+$H96*$M96*$I96*BY$9))+(BX96/12*10*$F96*$G96*((1-$H96)+$H96*$M96*$I96*BY$9))</f>
        <v>0</v>
      </c>
      <c r="BZ96" s="37"/>
      <c r="CA96" s="48">
        <f>(BZ96/12*2*$E96*$G96*((1-$H96)+$H96*$M96*$I96*CA$9))+(BZ96/12*10*$F96*$G96*((1-$H96)+$H96*$M96*$I96*CA$9))</f>
        <v>0</v>
      </c>
      <c r="CB96" s="37"/>
      <c r="CC96" s="48">
        <f>(CB96/12*2*$E96*$G96*((1-$H96)+$H96*$M96*$I96*CC$9))+(CB96/12*10*$F96*$G96*((1-$H96)+$H96*$M96*$I96*CC$9))</f>
        <v>0</v>
      </c>
      <c r="CD96" s="37"/>
      <c r="CE96" s="48">
        <f>(CD96/12*2*$E96*$G96*((1-$H96)+$H96*$M96*$I96*CE$9))+(CD96/12*10*$F96*$G96*((1-$H96)+$H96*$M96*$I96*CE$9))</f>
        <v>0</v>
      </c>
      <c r="CF96" s="37"/>
      <c r="CG96" s="48">
        <f>(CF96/12*2*$E96*$G96*((1-$H96)+$H96*$N96*$I96*CG$9))+(CF96/12*10*$F96*$G96*((1-$H96)+$H96*$N96*$I96*CG$9))</f>
        <v>0</v>
      </c>
      <c r="CH96" s="37"/>
      <c r="CI96" s="48">
        <f>(CH96/12*2*$E96*$G96*((1-$H96)+$H96*$O96*$I96))+(CH96/12*10*$F96*$G96*((1-$H96)+$H96*$O96*$I96))</f>
        <v>0</v>
      </c>
      <c r="CJ96" s="36"/>
      <c r="CK96" s="36"/>
      <c r="CL96" s="36"/>
      <c r="CM96" s="36"/>
      <c r="CN96" s="41"/>
      <c r="CO96" s="41"/>
      <c r="CP96" s="42">
        <f t="shared" si="91"/>
        <v>140</v>
      </c>
      <c r="CQ96" s="42">
        <f t="shared" si="91"/>
        <v>15424576.763904</v>
      </c>
    </row>
    <row r="97" spans="1:95" s="3" customFormat="1" ht="30" hidden="1" customHeight="1" x14ac:dyDescent="0.25">
      <c r="A97" s="54"/>
      <c r="B97" s="54">
        <v>69</v>
      </c>
      <c r="C97" s="55" t="s">
        <v>271</v>
      </c>
      <c r="D97" s="109" t="s">
        <v>272</v>
      </c>
      <c r="E97" s="110">
        <v>16026</v>
      </c>
      <c r="F97" s="110">
        <v>16828</v>
      </c>
      <c r="G97" s="33">
        <v>13.27</v>
      </c>
      <c r="H97" s="72">
        <v>0.31859999999999999</v>
      </c>
      <c r="I97" s="35">
        <v>1</v>
      </c>
      <c r="J97" s="111"/>
      <c r="K97" s="35"/>
      <c r="L97" s="65">
        <v>1.4</v>
      </c>
      <c r="M97" s="65">
        <v>1.68</v>
      </c>
      <c r="N97" s="65">
        <v>2.23</v>
      </c>
      <c r="O97" s="65">
        <v>2.57</v>
      </c>
      <c r="P97" s="36"/>
      <c r="Q97" s="48">
        <f>(P97/12*2*$E97*$G97*((1-$H97)+$H97*$L97*$I97))+(P97/12*10*$F97*$G97*((1-$H97)+$H97*$L97*$I97))</f>
        <v>0</v>
      </c>
      <c r="R97" s="37"/>
      <c r="S97" s="48">
        <f>(R97/12*2*$E97*$G97*((1-$H97)+$H97*$L97*$I97))+(R97/12*10*$F97*$G97*((1-$H97)+$H97*$L97*$I97))</f>
        <v>0</v>
      </c>
      <c r="T97" s="36"/>
      <c r="U97" s="48">
        <f>(T97/12*2*$E97*$G97*((1-$H97)+$H97*$L97*$I97))+(T97/12*10*$F97*$G97*((1-$H97)+$H97*$L97*$I97))</f>
        <v>0</v>
      </c>
      <c r="V97" s="36">
        <v>29</v>
      </c>
      <c r="W97" s="48">
        <f>(V97/12*2*$E97*$G97*((1-$H97)+$H97*$L97*$I97))+(V97/12*10*$F97*$G97*((1-$H97)+$H97*$L97*$I97))</f>
        <v>7243216.0656738663</v>
      </c>
      <c r="X97" s="37"/>
      <c r="Y97" s="48">
        <f>(X97/12*2*$E97*$G97*((1-$H97)+$H97*$L97*$I97))+(X97/12*10*$F97*$G97*((1-$H97)+$H97*$L97*$I97))</f>
        <v>0</v>
      </c>
      <c r="Z97" s="37"/>
      <c r="AA97" s="48">
        <f>(Z97/12*2*$E97*$G97*((1-$H97)+$H97*$L97*$I97))+(Z97/12*10*$F97*$G97*((1-$H97)+$H97*$L97*$I97))</f>
        <v>0</v>
      </c>
      <c r="AB97" s="37"/>
      <c r="AC97" s="36"/>
      <c r="AD97" s="37">
        <v>0</v>
      </c>
      <c r="AE97" s="48">
        <f>(AD97/12*2*$E97*$G97*((1-$H97)+$H97*$L97*$I97))+(AD97/12*10*$F97*$G97*((1-$H97)+$H97*$L97*$I97))</f>
        <v>0</v>
      </c>
      <c r="AF97" s="37">
        <v>0</v>
      </c>
      <c r="AG97" s="48">
        <f>(AF97/12*2*$E97*$G97*((1-$H97)+$H97*$M97*$I97))+(AF97/12*10*$F97*$G97*((1-$H97)+$H97*$M97*$I97))</f>
        <v>0</v>
      </c>
      <c r="AH97" s="37"/>
      <c r="AI97" s="48">
        <f>(AH97/12*2*$E97*$G97*((1-$H97)+$H97*$M97*$I97))+(AH97/12*10*$F97*$G97*((1-$H97)+$H97*$M97*$I97))</f>
        <v>0</v>
      </c>
      <c r="AJ97" s="48">
        <v>0</v>
      </c>
      <c r="AK97" s="48">
        <v>0</v>
      </c>
      <c r="AL97" s="37"/>
      <c r="AM97" s="36"/>
      <c r="AN97" s="37"/>
      <c r="AO97" s="36"/>
      <c r="AP97" s="37"/>
      <c r="AQ97" s="36"/>
      <c r="AR97" s="37"/>
      <c r="AS97" s="48"/>
      <c r="AT97" s="37"/>
      <c r="AU97" s="36"/>
      <c r="AV97" s="37"/>
      <c r="AW97" s="48"/>
      <c r="AX97" s="37"/>
      <c r="AY97" s="48"/>
      <c r="AZ97" s="37"/>
      <c r="BA97" s="48"/>
      <c r="BB97" s="37"/>
      <c r="BC97" s="48"/>
      <c r="BD97" s="37"/>
      <c r="BE97" s="48">
        <f>(BD97/12*2*$E97*$G97*((1-$H97)+$H97*$L97*$I97*BE$9))+(BD97/12*10*$F97*$G97*((1-$H97)+$H97*$L97*$I97*BE$9))</f>
        <v>0</v>
      </c>
      <c r="BF97" s="37"/>
      <c r="BG97" s="48">
        <f>(BF97/12*2*$E97*$G97*((1-$H97)+$H97*$M97*$I97*BG$9))+(BF97/12*10*$F97*$G97*((1-$H97)+$H97*$M97*$I97*BG$9))</f>
        <v>0</v>
      </c>
      <c r="BH97" s="63"/>
      <c r="BI97" s="48">
        <f>(BH97/12*2*$E97*$G97*((1-$H97)+$H97*$M97*$I97*BI$9))+(BH97/12*10*$F97*$G97*((1-$H97)+$H97*$M97*$I97*BI$9))</f>
        <v>0</v>
      </c>
      <c r="BJ97" s="37"/>
      <c r="BK97" s="48">
        <f>(BJ97/12*2*$E97*$G97*((1-$H97)+$H97*$M97*$I97*BK$9))+(BJ97/12*10*$F97*$G97*((1-$H97)+$H97*$M97*$I97*BK$9))</f>
        <v>0</v>
      </c>
      <c r="BL97" s="37"/>
      <c r="BM97" s="48">
        <f>(BL97/12*2*$E97*$G97*((1-$H97)+$H97*$M97*$I97*BM$9))+(BL97/12*10*$F97*$G97*((1-$H97)+$H97*$M97*$I97*BM$9))</f>
        <v>0</v>
      </c>
      <c r="BN97" s="37"/>
      <c r="BO97" s="48">
        <f>(BN97/12*10*$F97*$G97*((1-$H97)+$H97*$M97*$I97*BO$9))</f>
        <v>0</v>
      </c>
      <c r="BP97" s="39"/>
      <c r="BQ97" s="48"/>
      <c r="BR97" s="37"/>
      <c r="BS97" s="48">
        <f>(BR97/12*10*$F97*$G97*((1-$H97)+$H97*$M97*$I97*BS$9))</f>
        <v>0</v>
      </c>
      <c r="BT97" s="37"/>
      <c r="BU97" s="48">
        <f>(BT97/12*2*$E97*$G97*((1-$H97)+$H97*$M97*$I97*BU$9))+(BT97/12*10*$F97*$G97*((1-$H97)+$H97*$M97*$I97*BU$9))</f>
        <v>0</v>
      </c>
      <c r="BV97" s="36"/>
      <c r="BW97" s="48">
        <f>(BV97/12*2*$E97*$G97*((1-$H97)+$H97*$M97*$I97*BW$9))+(BV97/12*10*$F97*$G97*((1-$H97)+$H97*$M97*$I97*BW$9))</f>
        <v>0</v>
      </c>
      <c r="BX97" s="37"/>
      <c r="BY97" s="48">
        <f>(BX97/12*2*$E97*$G97*((1-$H97)+$H97*$M97*$I97*BY$9))+(BX97/12*10*$F97*$G97*((1-$H97)+$H97*$M97*$I97*BY$9))</f>
        <v>0</v>
      </c>
      <c r="BZ97" s="37"/>
      <c r="CA97" s="48">
        <f>(BZ97/12*2*$E97*$G97*((1-$H97)+$H97*$M97*$I97*CA$9))+(BZ97/12*10*$F97*$G97*((1-$H97)+$H97*$M97*$I97*CA$9))</f>
        <v>0</v>
      </c>
      <c r="CB97" s="37"/>
      <c r="CC97" s="48">
        <f>(CB97/12*2*$E97*$G97*((1-$H97)+$H97*$M97*$I97*CC$9))+(CB97/12*10*$F97*$G97*((1-$H97)+$H97*$M97*$I97*CC$9))</f>
        <v>0</v>
      </c>
      <c r="CD97" s="37"/>
      <c r="CE97" s="48">
        <f>(CD97/12*2*$E97*$G97*((1-$H97)+$H97*$M97*$I97*CE$9))+(CD97/12*10*$F97*$G97*((1-$H97)+$H97*$M97*$I97*CE$9))</f>
        <v>0</v>
      </c>
      <c r="CF97" s="37"/>
      <c r="CG97" s="48">
        <f>(CF97/12*2*$E97*$G97*((1-$H97)+$H97*$N97*$I97*CG$9))+(CF97/12*10*$F97*$G97*((1-$H97)+$H97*$N97*$I97*CG$9))</f>
        <v>0</v>
      </c>
      <c r="CH97" s="37"/>
      <c r="CI97" s="48">
        <f>(CH97/12*2*$E97*$G97*((1-$H97)+$H97*$O97*$I97))+(CH97/12*10*$F97*$G97*((1-$H97)+$H97*$O97*$I97))</f>
        <v>0</v>
      </c>
      <c r="CJ97" s="36"/>
      <c r="CK97" s="36"/>
      <c r="CL97" s="36"/>
      <c r="CM97" s="36"/>
      <c r="CN97" s="41"/>
      <c r="CO97" s="41"/>
      <c r="CP97" s="42">
        <f t="shared" si="91"/>
        <v>29</v>
      </c>
      <c r="CQ97" s="42">
        <f t="shared" si="91"/>
        <v>7243216.0656738663</v>
      </c>
    </row>
    <row r="98" spans="1:95" s="3" customFormat="1" ht="30" hidden="1" customHeight="1" x14ac:dyDescent="0.25">
      <c r="A98" s="54"/>
      <c r="B98" s="54">
        <v>70</v>
      </c>
      <c r="C98" s="55" t="s">
        <v>273</v>
      </c>
      <c r="D98" s="109" t="s">
        <v>274</v>
      </c>
      <c r="E98" s="110">
        <v>16026</v>
      </c>
      <c r="F98" s="110">
        <v>16828</v>
      </c>
      <c r="G98" s="33">
        <v>25.33</v>
      </c>
      <c r="H98" s="72">
        <v>0.16689999999999999</v>
      </c>
      <c r="I98" s="35">
        <v>1</v>
      </c>
      <c r="J98" s="111"/>
      <c r="K98" s="35"/>
      <c r="L98" s="65">
        <v>1.4</v>
      </c>
      <c r="M98" s="65">
        <v>1.68</v>
      </c>
      <c r="N98" s="65">
        <v>2.23</v>
      </c>
      <c r="O98" s="65">
        <v>2.57</v>
      </c>
      <c r="P98" s="36"/>
      <c r="Q98" s="48">
        <f>(P98/12*2*$E98*$G98*((1-$H98)+$H98*$L98*$I98))+(P98/12*10*$F98*$G98*((1-$H98)+$H98*$L98*$I98))</f>
        <v>0</v>
      </c>
      <c r="R98" s="37"/>
      <c r="S98" s="48">
        <f>(R98/12*2*$E98*$G98*((1-$H98)+$H98*$L98*$I98))+(R98/12*10*$F98*$G98*((1-$H98)+$H98*$L98*$I98))</f>
        <v>0</v>
      </c>
      <c r="T98" s="36"/>
      <c r="U98" s="48">
        <f>(T98/12*2*$E98*$G98*((1-$H98)+$H98*$L98*$I98))+(T98/12*10*$F98*$G98*((1-$H98)+$H98*$L98*$I98))</f>
        <v>0</v>
      </c>
      <c r="V98" s="36">
        <v>20</v>
      </c>
      <c r="W98" s="48">
        <f>(V98/12*2*$E98*$G98*((1-$H98)+$H98*$L98*$I98))+(V98/12*10*$F98*$G98*((1-$H98)+$H98*$L98*$I98))</f>
        <v>9021961.9037093334</v>
      </c>
      <c r="X98" s="37"/>
      <c r="Y98" s="48">
        <f>(X98/12*2*$E98*$G98*((1-$H98)+$H98*$L98*$I98))+(X98/12*10*$F98*$G98*((1-$H98)+$H98*$L98*$I98))</f>
        <v>0</v>
      </c>
      <c r="Z98" s="37"/>
      <c r="AA98" s="48">
        <f>(Z98/12*2*$E98*$G98*((1-$H98)+$H98*$L98*$I98))+(Z98/12*10*$F98*$G98*((1-$H98)+$H98*$L98*$I98))</f>
        <v>0</v>
      </c>
      <c r="AB98" s="37"/>
      <c r="AC98" s="36"/>
      <c r="AD98" s="37">
        <v>0</v>
      </c>
      <c r="AE98" s="48">
        <f>(AD98/12*2*$E98*$G98*((1-$H98)+$H98*$L98*$I98))+(AD98/12*10*$F98*$G98*((1-$H98)+$H98*$L98*$I98))</f>
        <v>0</v>
      </c>
      <c r="AF98" s="37">
        <v>0</v>
      </c>
      <c r="AG98" s="48">
        <f>(AF98/12*2*$E98*$G98*((1-$H98)+$H98*$M98*$I98))+(AF98/12*10*$F98*$G98*((1-$H98)+$H98*$M98*$I98))</f>
        <v>0</v>
      </c>
      <c r="AH98" s="37"/>
      <c r="AI98" s="48">
        <f>(AH98/12*2*$E98*$G98*((1-$H98)+$H98*$M98*$I98))+(AH98/12*10*$F98*$G98*((1-$H98)+$H98*$M98*$I98))</f>
        <v>0</v>
      </c>
      <c r="AJ98" s="48">
        <v>0</v>
      </c>
      <c r="AK98" s="48">
        <v>0</v>
      </c>
      <c r="AL98" s="37"/>
      <c r="AM98" s="36"/>
      <c r="AN98" s="37"/>
      <c r="AO98" s="36"/>
      <c r="AP98" s="37"/>
      <c r="AQ98" s="36"/>
      <c r="AR98" s="37"/>
      <c r="AS98" s="48"/>
      <c r="AT98" s="37"/>
      <c r="AU98" s="36"/>
      <c r="AV98" s="37"/>
      <c r="AW98" s="48"/>
      <c r="AX98" s="37"/>
      <c r="AY98" s="48"/>
      <c r="AZ98" s="37"/>
      <c r="BA98" s="48"/>
      <c r="BB98" s="37"/>
      <c r="BC98" s="48"/>
      <c r="BD98" s="37"/>
      <c r="BE98" s="48">
        <f>(BD98/12*2*$E98*$G98*((1-$H98)+$H98*$L98*$I98*BE$9))+(BD98/12*10*$F98*$G98*((1-$H98)+$H98*$L98*$I98*BE$9))</f>
        <v>0</v>
      </c>
      <c r="BF98" s="37"/>
      <c r="BG98" s="48">
        <f>(BF98/12*2*$E98*$G98*((1-$H98)+$H98*$M98*$I98*BG$9))+(BF98/12*10*$F98*$G98*((1-$H98)+$H98*$M98*$I98*BG$9))</f>
        <v>0</v>
      </c>
      <c r="BH98" s="63"/>
      <c r="BI98" s="48">
        <f>(BH98/12*2*$E98*$G98*((1-$H98)+$H98*$M98*$I98*BI$9))+(BH98/12*10*$F98*$G98*((1-$H98)+$H98*$M98*$I98*BI$9))</f>
        <v>0</v>
      </c>
      <c r="BJ98" s="37"/>
      <c r="BK98" s="48">
        <f>(BJ98/12*2*$E98*$G98*((1-$H98)+$H98*$M98*$I98*BK$9))+(BJ98/12*10*$F98*$G98*((1-$H98)+$H98*$M98*$I98*BK$9))</f>
        <v>0</v>
      </c>
      <c r="BL98" s="37"/>
      <c r="BM98" s="48">
        <f>(BL98/12*2*$E98*$G98*((1-$H98)+$H98*$M98*$I98*BM$9))+(BL98/12*10*$F98*$G98*((1-$H98)+$H98*$M98*$I98*BM$9))</f>
        <v>0</v>
      </c>
      <c r="BN98" s="37"/>
      <c r="BO98" s="48">
        <f>(BN98/12*10*$F98*$G98*((1-$H98)+$H98*$M98*$I98*BO$9))</f>
        <v>0</v>
      </c>
      <c r="BP98" s="39"/>
      <c r="BQ98" s="48"/>
      <c r="BR98" s="37"/>
      <c r="BS98" s="48">
        <f>(BR98/12*10*$F98*$G98*((1-$H98)+$H98*$M98*$I98*BS$9))</f>
        <v>0</v>
      </c>
      <c r="BT98" s="37"/>
      <c r="BU98" s="48">
        <f>(BT98/12*2*$E98*$G98*((1-$H98)+$H98*$M98*$I98*BU$9))+(BT98/12*10*$F98*$G98*((1-$H98)+$H98*$M98*$I98*BU$9))</f>
        <v>0</v>
      </c>
      <c r="BV98" s="36"/>
      <c r="BW98" s="48">
        <f>(BV98/12*2*$E98*$G98*((1-$H98)+$H98*$M98*$I98*BW$9))+(BV98/12*10*$F98*$G98*((1-$H98)+$H98*$M98*$I98*BW$9))</f>
        <v>0</v>
      </c>
      <c r="BX98" s="37"/>
      <c r="BY98" s="48">
        <f>(BX98/12*2*$E98*$G98*((1-$H98)+$H98*$M98*$I98*BY$9))+(BX98/12*10*$F98*$G98*((1-$H98)+$H98*$M98*$I98*BY$9))</f>
        <v>0</v>
      </c>
      <c r="BZ98" s="37"/>
      <c r="CA98" s="48">
        <f>(BZ98/12*2*$E98*$G98*((1-$H98)+$H98*$M98*$I98*CA$9))+(BZ98/12*10*$F98*$G98*((1-$H98)+$H98*$M98*$I98*CA$9))</f>
        <v>0</v>
      </c>
      <c r="CB98" s="37"/>
      <c r="CC98" s="48">
        <f>(CB98/12*2*$E98*$G98*((1-$H98)+$H98*$M98*$I98*CC$9))+(CB98/12*10*$F98*$G98*((1-$H98)+$H98*$M98*$I98*CC$9))</f>
        <v>0</v>
      </c>
      <c r="CD98" s="37"/>
      <c r="CE98" s="48">
        <f>(CD98/12*2*$E98*$G98*((1-$H98)+$H98*$M98*$I98*CE$9))+(CD98/12*10*$F98*$G98*((1-$H98)+$H98*$M98*$I98*CE$9))</f>
        <v>0</v>
      </c>
      <c r="CF98" s="37"/>
      <c r="CG98" s="48">
        <f>(CF98/12*2*$E98*$G98*((1-$H98)+$H98*$N98*$I98*CG$9))+(CF98/12*10*$F98*$G98*((1-$H98)+$H98*$N98*$I98*CG$9))</f>
        <v>0</v>
      </c>
      <c r="CH98" s="37"/>
      <c r="CI98" s="48">
        <f>(CH98/12*2*$E98*$G98*((1-$H98)+$H98*$O98*$I98))+(CH98/12*10*$F98*$G98*((1-$H98)+$H98*$O98*$I98))</f>
        <v>0</v>
      </c>
      <c r="CJ98" s="36"/>
      <c r="CK98" s="36"/>
      <c r="CL98" s="36"/>
      <c r="CM98" s="36"/>
      <c r="CN98" s="36"/>
      <c r="CO98" s="36"/>
      <c r="CP98" s="42">
        <f t="shared" si="91"/>
        <v>20</v>
      </c>
      <c r="CQ98" s="42">
        <f t="shared" si="91"/>
        <v>9021961.9037093334</v>
      </c>
    </row>
    <row r="99" spans="1:95" s="3" customFormat="1" ht="45" hidden="1" customHeight="1" x14ac:dyDescent="0.25">
      <c r="A99" s="54"/>
      <c r="B99" s="54">
        <v>71</v>
      </c>
      <c r="C99" s="55" t="s">
        <v>275</v>
      </c>
      <c r="D99" s="68" t="s">
        <v>276</v>
      </c>
      <c r="E99" s="110">
        <v>16026</v>
      </c>
      <c r="F99" s="110">
        <v>16828</v>
      </c>
      <c r="G99" s="73">
        <v>0.2</v>
      </c>
      <c r="H99" s="74"/>
      <c r="I99" s="35">
        <v>1</v>
      </c>
      <c r="J99" s="111"/>
      <c r="K99" s="35"/>
      <c r="L99" s="65">
        <v>1.4</v>
      </c>
      <c r="M99" s="65">
        <v>1.68</v>
      </c>
      <c r="N99" s="65">
        <v>2.23</v>
      </c>
      <c r="O99" s="65">
        <v>2.57</v>
      </c>
      <c r="P99" s="36"/>
      <c r="Q99" s="36">
        <f>SUM(P99/12*2*$E99*$G99*$I99*$L99*$Q$9)+(P99/12*10*$F99*$G99*$I99*$L99*$Q$9)</f>
        <v>0</v>
      </c>
      <c r="R99" s="37">
        <v>0</v>
      </c>
      <c r="S99" s="36">
        <f>SUM(R99/12*2*$E99*$G99*$I99*$L99*S$9)+(R99/12*10*$F99*$G99*$I99*$L99*S$9)</f>
        <v>0</v>
      </c>
      <c r="T99" s="36"/>
      <c r="U99" s="36">
        <f>SUM(T99/12*2*$E99*$G99*$I99*$L99*U$9)+(T99/12*10*$F99*$G99*$I99*$L99*U$9)</f>
        <v>0</v>
      </c>
      <c r="V99" s="36">
        <v>0</v>
      </c>
      <c r="W99" s="36">
        <f>SUM(V99/12*2*$E99*$G99*$I99*$L99*$W$9)+(V99/12*10*$F99*$G99*$I99*$L99*$W$9)</f>
        <v>0</v>
      </c>
      <c r="X99" s="37">
        <v>0</v>
      </c>
      <c r="Y99" s="38">
        <f>SUM(X99/12*2*$E99*$G99*$I99*$L99*Y$9)+(X99/12*10*$F99*$G99*$I99*$L99*Y$9)</f>
        <v>0</v>
      </c>
      <c r="Z99" s="37"/>
      <c r="AA99" s="36"/>
      <c r="AB99" s="37"/>
      <c r="AC99" s="36">
        <f>(AB99/12*2*$E99*$G99*$I99*$L99)+(AB99/12*10*$F99*$G99*$I99*$L99)</f>
        <v>0</v>
      </c>
      <c r="AD99" s="37">
        <v>0</v>
      </c>
      <c r="AE99" s="36">
        <f>(AD99/12*2*$E99*$G99*$I99*$L99*AE$9)+(AD99/12*10*$F99*$G99*$I99*$L99*AE$9)</f>
        <v>0</v>
      </c>
      <c r="AF99" s="37">
        <v>0</v>
      </c>
      <c r="AG99" s="36">
        <f>(AF99/12*2*$E99*$G99*$I99*$M99*AG$9)+(AF99/12*10*$F99*$G99*$I99*$M99*AG$9)</f>
        <v>0</v>
      </c>
      <c r="AH99" s="37">
        <v>0</v>
      </c>
      <c r="AI99" s="36">
        <f>(AH99/12*2*$E99*$G99*$I99*$M99*$AI$9)+(AH99/12*10*$F99*$G99*$I99*$M99*$AI$9)</f>
        <v>0</v>
      </c>
      <c r="AJ99" s="36">
        <v>0</v>
      </c>
      <c r="AK99" s="36">
        <v>0</v>
      </c>
      <c r="AL99" s="37"/>
      <c r="AM99" s="36">
        <f>SUM(AL99/12*2*$E99*$G99*$I99*$L99*AM$9)+(AL99/12*10*$F99*$G99*$I99*$L99*AM$9)</f>
        <v>0</v>
      </c>
      <c r="AN99" s="37">
        <v>0</v>
      </c>
      <c r="AO99" s="36">
        <f>SUM(AN99/12*2*$E99*$G99*$I99*$L99*$AE$9)+(AN99/12*10*$F99*$G99*$I99*$L99*$AE$9)</f>
        <v>0</v>
      </c>
      <c r="AP99" s="37"/>
      <c r="AQ99" s="36"/>
      <c r="AR99" s="37"/>
      <c r="AS99" s="36">
        <f>SUM(AR99/12*2*$E99*$G99*$I99*$L99*AS$9)+(AR99/12*10*$F99*$G99*$I99*$L99*AS$9)</f>
        <v>0</v>
      </c>
      <c r="AT99" s="37"/>
      <c r="AU99" s="36">
        <f>SUM(AT99/12*2*$E99*$G99*$I99*$L99*$AI$9)+(AT99/12*10*$F99*$G99*$I99*$L99*$AI$9)</f>
        <v>0</v>
      </c>
      <c r="AV99" s="37">
        <v>0</v>
      </c>
      <c r="AW99" s="36">
        <f>SUM(AV99/12*2*$E99*$G99*$I99*$L99*AW$9)+(AV99/12*10*$F99*$G99*$I99*$L99*AW$9)</f>
        <v>0</v>
      </c>
      <c r="AX99" s="37">
        <v>0</v>
      </c>
      <c r="AY99" s="36">
        <f>SUM(AX99/12*2*$E99*$G99*$I99*$L99*AY$9)+(AX99/12*10*$F99*$G99*$I99*$L99*AY$9)</f>
        <v>0</v>
      </c>
      <c r="AZ99" s="37">
        <v>0</v>
      </c>
      <c r="BA99" s="36">
        <f>SUM(AZ99/12*2*$E99*$G99*$I99*$L99*BA$9)+(AZ99/12*10*$F99*$G99*$I99*$L99*BA$9)</f>
        <v>0</v>
      </c>
      <c r="BB99" s="37"/>
      <c r="BC99" s="36">
        <f>SUM(BB99/12*2*$E99*$G99*$I99*$L99*BC$9)+(BB99/12*10*$F99*$G99*$I99*$L99*BC$9)</f>
        <v>0</v>
      </c>
      <c r="BD99" s="37"/>
      <c r="BE99" s="36">
        <f>SUM(BD99/12*2*$E99*$G99*$I99*$L99*BE$9)+(BD99/12*10*$F99*$G99*$I99*$L99*BE$9)</f>
        <v>0</v>
      </c>
      <c r="BF99" s="37"/>
      <c r="BG99" s="39">
        <f>(BF99/12*2*$E99*$G99*$I99*$M99*BG$9)+(BF99/12*10*$F99*$G99*$I99*$M99*BG$9)</f>
        <v>0</v>
      </c>
      <c r="BH99" s="60">
        <v>0</v>
      </c>
      <c r="BI99" s="36">
        <f>(BH99/12*2*$E99*$G99*$I99*$M99*BI$9)+(BH99/12*10*$F99*$G99*$I99*$M99*BI$9)</f>
        <v>0</v>
      </c>
      <c r="BJ99" s="37">
        <v>0</v>
      </c>
      <c r="BK99" s="36">
        <f>(BJ99/12*2*$E99*$G99*$I99*$M99*BK$9)+(BJ99/12*10*$F99*$G99*$I99*$M99*BK$9)</f>
        <v>0</v>
      </c>
      <c r="BL99" s="37">
        <v>0</v>
      </c>
      <c r="BM99" s="36">
        <f>(BL99/12*2*$E99*$G99*$I99*$M99*BM$9)+(BL99/12*10*$F99*$G99*$I99*$M99*BM$9)</f>
        <v>0</v>
      </c>
      <c r="BN99" s="37">
        <v>0</v>
      </c>
      <c r="BO99" s="36">
        <f>(BN99/12*10*$F99*$G99*$I99*$M99*BO$9)</f>
        <v>0</v>
      </c>
      <c r="BP99" s="39"/>
      <c r="BQ99" s="36"/>
      <c r="BR99" s="37">
        <v>0</v>
      </c>
      <c r="BS99" s="36">
        <f>(BR99/12*10*$F99*$G99*$I99*$M99*BS$9)</f>
        <v>0</v>
      </c>
      <c r="BT99" s="37">
        <v>0</v>
      </c>
      <c r="BU99" s="36">
        <f>(BT99/12*2*$E99*$G99*$I99*$M99*BU$9)+(BT99/12*10*$F99*$G99*$I99*$M99*BU$9)</f>
        <v>0</v>
      </c>
      <c r="BV99" s="36">
        <v>0</v>
      </c>
      <c r="BW99" s="36">
        <f>(BV99/12*2*$E99*$G99*$I99*$M99*BW$9)+(BV99/12*10*$F99*$G99*$I99*$M99*BW$9)</f>
        <v>0</v>
      </c>
      <c r="BX99" s="37">
        <v>0</v>
      </c>
      <c r="BY99" s="36">
        <f>(BX99/12*2*$E99*$G99*$I99*$M99*BY$9)+(BX99/12*10*$F99*$G99*$I99*$M99*BY$9)</f>
        <v>0</v>
      </c>
      <c r="BZ99" s="37"/>
      <c r="CA99" s="36">
        <f>(BZ99/12*2*$E99*$G99*$I99*$M99*CA$9)+(BZ99/12*10*$F99*$G99*$I99*$M99*CA$9)</f>
        <v>0</v>
      </c>
      <c r="CB99" s="37"/>
      <c r="CC99" s="36">
        <f>(CB99/12*2*$E99*$G99*$I99*$M99*CC$9)+(CB99/12*10*$F99*$G99*$I99*$M99*CC$9)</f>
        <v>0</v>
      </c>
      <c r="CD99" s="37">
        <v>0</v>
      </c>
      <c r="CE99" s="36">
        <f>(CD99/12*2*$E99*$G99*$I99*$M99*CE$9)+(CD99/12*10*$F99*$G99*$I99*$M99*CE$9)</f>
        <v>0</v>
      </c>
      <c r="CF99" s="37">
        <v>0</v>
      </c>
      <c r="CG99" s="36">
        <f>(CF99/12*2*$E99*$G99*$I99*$N99*CG$9)+(CF99/12*10*$F99*$G99*$I99*$N99*CG$9)</f>
        <v>0</v>
      </c>
      <c r="CH99" s="37">
        <v>0</v>
      </c>
      <c r="CI99" s="36">
        <f>(CH99/12*2*$E99*$G99*$I99*$O99*$CI$9)+(CH99/12*10*$F99*$G99*$I99*$O99*$CI$9)</f>
        <v>0</v>
      </c>
      <c r="CJ99" s="36"/>
      <c r="CK99" s="36"/>
      <c r="CL99" s="36"/>
      <c r="CM99" s="36"/>
      <c r="CN99" s="41"/>
      <c r="CO99" s="41"/>
      <c r="CP99" s="42">
        <f t="shared" si="91"/>
        <v>0</v>
      </c>
      <c r="CQ99" s="42">
        <f t="shared" si="91"/>
        <v>0</v>
      </c>
    </row>
    <row r="100" spans="1:95" s="3" customFormat="1" ht="45" hidden="1" customHeight="1" x14ac:dyDescent="0.25">
      <c r="A100" s="54"/>
      <c r="B100" s="54">
        <v>72</v>
      </c>
      <c r="C100" s="55" t="s">
        <v>277</v>
      </c>
      <c r="D100" s="68" t="s">
        <v>278</v>
      </c>
      <c r="E100" s="110">
        <v>16026</v>
      </c>
      <c r="F100" s="110">
        <v>16828</v>
      </c>
      <c r="G100" s="73">
        <v>0.74</v>
      </c>
      <c r="H100" s="74"/>
      <c r="I100" s="35">
        <v>1</v>
      </c>
      <c r="J100" s="111"/>
      <c r="K100" s="35"/>
      <c r="L100" s="65">
        <v>1.4</v>
      </c>
      <c r="M100" s="65">
        <v>1.68</v>
      </c>
      <c r="N100" s="65">
        <v>2.23</v>
      </c>
      <c r="O100" s="65">
        <v>2.57</v>
      </c>
      <c r="P100" s="36">
        <v>7</v>
      </c>
      <c r="Q100" s="36">
        <f>SUM(P100/12*2*$E100*$G100*$I100*$L100*$Q$9)+(P100/12*10*$F100*$G100*$I100*$L100*$Q$9)</f>
        <v>121067.30533333334</v>
      </c>
      <c r="R100" s="37"/>
      <c r="S100" s="36">
        <f>SUM(R100/12*2*$E100*$G100*$I100*$L100*S$9)+(R100/12*10*$F100*$G100*$I100*$L100*S$9)</f>
        <v>0</v>
      </c>
      <c r="T100" s="36">
        <v>25</v>
      </c>
      <c r="U100" s="36">
        <f>SUM(T100/12*2*$E100*$G100*$I100*$L100*U$9)+(T100/12*10*$F100*$G100*$I100*$L100*U$9)</f>
        <v>432383.23333333328</v>
      </c>
      <c r="V100" s="36"/>
      <c r="W100" s="36">
        <f>SUM(V100/12*2*$E100*$G100*$I100*$L100*$W$9)+(V100/12*10*$F100*$G100*$I100*$L100*$W$9)</f>
        <v>0</v>
      </c>
      <c r="X100" s="37"/>
      <c r="Y100" s="38">
        <f>SUM(X100/12*2*$E100*$G100*$I100*$L100*Y$9)+(X100/12*10*$F100*$G100*$I100*$L100*Y$9)</f>
        <v>0</v>
      </c>
      <c r="Z100" s="37"/>
      <c r="AA100" s="36"/>
      <c r="AB100" s="37"/>
      <c r="AC100" s="36">
        <f>(AB100/12*2*$E100*$G100*$I100*$L100)+(AB100/12*10*$F100*$G100*$I100*$L100)</f>
        <v>0</v>
      </c>
      <c r="AD100" s="37"/>
      <c r="AE100" s="36">
        <f>(AD100/12*2*$E100*$G100*$I100*$L100*AE$9)+(AD100/12*10*$F100*$G100*$I100*$L100*AE$9)</f>
        <v>0</v>
      </c>
      <c r="AF100" s="37"/>
      <c r="AG100" s="36">
        <f>(AF100/12*2*$E100*$G100*$I100*$M100*AG$9)+(AF100/12*10*$F100*$G100*$I100*$M100*AG$9)</f>
        <v>0</v>
      </c>
      <c r="AH100" s="37"/>
      <c r="AI100" s="36">
        <f>(AH100/12*2*$E100*$G100*$I100*$M100*$AI$9)+(AH100/12*10*$F100*$G100*$I100*$M100*$AI$9)</f>
        <v>0</v>
      </c>
      <c r="AJ100" s="36">
        <v>0</v>
      </c>
      <c r="AK100" s="36">
        <v>0</v>
      </c>
      <c r="AL100" s="37"/>
      <c r="AM100" s="36">
        <f>SUM(AL100/12*2*$E100*$G100*$I100*$L100*AM$9)+(AL100/12*10*$F100*$G100*$I100*$L100*AM$9)</f>
        <v>0</v>
      </c>
      <c r="AN100" s="37"/>
      <c r="AO100" s="36">
        <f>SUM(AN100/12*2*$E100*$G100*$I100*$L100*$AE$9)+(AN100/12*10*$F100*$G100*$I100*$L100*$AE$9)</f>
        <v>0</v>
      </c>
      <c r="AP100" s="37"/>
      <c r="AQ100" s="36"/>
      <c r="AR100" s="37"/>
      <c r="AS100" s="36">
        <f>SUM(AR100/12*2*$E100*$G100*$I100*$L100*AS$9)+(AR100/12*10*$F100*$G100*$I100*$L100*AS$9)</f>
        <v>0</v>
      </c>
      <c r="AT100" s="37"/>
      <c r="AU100" s="36">
        <f>SUM(AT100/12*2*$E100*$G100*$I100*$L100*$AI$9)+(AT100/12*10*$F100*$G100*$I100*$L100*$AI$9)</f>
        <v>0</v>
      </c>
      <c r="AV100" s="37"/>
      <c r="AW100" s="36">
        <f>SUM(AV100/12*2*$E100*$G100*$I100*$L100*AW$9)+(AV100/12*10*$F100*$G100*$I100*$L100*AW$9)</f>
        <v>0</v>
      </c>
      <c r="AX100" s="37"/>
      <c r="AY100" s="36">
        <f>SUM(AX100/12*2*$E100*$G100*$I100*$L100*AY$9)+(AX100/12*10*$F100*$G100*$I100*$L100*AY$9)</f>
        <v>0</v>
      </c>
      <c r="AZ100" s="37"/>
      <c r="BA100" s="36">
        <f>SUM(AZ100/12*2*$E100*$G100*$I100*$L100*BA$9)+(AZ100/12*10*$F100*$G100*$I100*$L100*BA$9)</f>
        <v>0</v>
      </c>
      <c r="BB100" s="37"/>
      <c r="BC100" s="36">
        <f>SUM(BB100/12*2*$E100*$G100*$I100*$L100*BC$9)+(BB100/12*10*$F100*$G100*$I100*$L100*BC$9)</f>
        <v>0</v>
      </c>
      <c r="BD100" s="37"/>
      <c r="BE100" s="36">
        <f>SUM(BD100/12*2*$E100*$G100*$I100*$L100*BE$9)+(BD100/12*10*$F100*$G100*$I100*$L100*BE$9)</f>
        <v>0</v>
      </c>
      <c r="BF100" s="37"/>
      <c r="BG100" s="39">
        <f>(BF100/12*2*$E100*$G100*$I100*$M100*BG$9)+(BF100/12*10*$F100*$G100*$I100*$M100*BG$9)</f>
        <v>0</v>
      </c>
      <c r="BH100" s="60"/>
      <c r="BI100" s="36">
        <f>(BH100/12*2*$E100*$G100*$I100*$M100*BI$9)+(BH100/12*10*$F100*$G100*$I100*$M100*BI$9)</f>
        <v>0</v>
      </c>
      <c r="BJ100" s="37"/>
      <c r="BK100" s="36">
        <f>(BJ100/12*2*$E100*$G100*$I100*$M100*BK$9)+(BJ100/12*10*$F100*$G100*$I100*$M100*BK$9)</f>
        <v>0</v>
      </c>
      <c r="BL100" s="37"/>
      <c r="BM100" s="36">
        <f>(BL100/12*2*$E100*$G100*$I100*$M100*BM$9)+(BL100/12*10*$F100*$G100*$I100*$M100*BM$9)</f>
        <v>0</v>
      </c>
      <c r="BN100" s="37"/>
      <c r="BO100" s="36">
        <f>(BN100/12*10*$F100*$G100*$I100*$M100*BO$9)</f>
        <v>0</v>
      </c>
      <c r="BP100" s="39"/>
      <c r="BQ100" s="36"/>
      <c r="BR100" s="37"/>
      <c r="BS100" s="36">
        <f>(BR100/12*10*$F100*$G100*$I100*$M100*BS$9)</f>
        <v>0</v>
      </c>
      <c r="BT100" s="37"/>
      <c r="BU100" s="36">
        <f>(BT100/12*2*$E100*$G100*$I100*$M100*BU$9)+(BT100/12*10*$F100*$G100*$I100*$M100*BU$9)</f>
        <v>0</v>
      </c>
      <c r="BV100" s="36"/>
      <c r="BW100" s="36">
        <f>(BV100/12*2*$E100*$G100*$I100*$M100*BW$9)+(BV100/12*10*$F100*$G100*$I100*$M100*BW$9)</f>
        <v>0</v>
      </c>
      <c r="BX100" s="37"/>
      <c r="BY100" s="36">
        <f>(BX100/12*2*$E100*$G100*$I100*$M100*BY$9)+(BX100/12*10*$F100*$G100*$I100*$M100*BY$9)</f>
        <v>0</v>
      </c>
      <c r="BZ100" s="37"/>
      <c r="CA100" s="36">
        <f>(BZ100/12*2*$E100*$G100*$I100*$M100*CA$9)+(BZ100/12*10*$F100*$G100*$I100*$M100*CA$9)</f>
        <v>0</v>
      </c>
      <c r="CB100" s="37"/>
      <c r="CC100" s="36">
        <f>(CB100/12*2*$E100*$G100*$I100*$M100*CC$9)+(CB100/12*10*$F100*$G100*$I100*$M100*CC$9)</f>
        <v>0</v>
      </c>
      <c r="CD100" s="37"/>
      <c r="CE100" s="36">
        <f>(CD100/12*2*$E100*$G100*$I100*$M100*CE$9)+(CD100/12*10*$F100*$G100*$I100*$M100*CE$9)</f>
        <v>0</v>
      </c>
      <c r="CF100" s="37"/>
      <c r="CG100" s="36">
        <f>(CF100/12*2*$E100*$G100*$I100*$N100*CG$9)+(CF100/12*10*$F100*$G100*$I100*$N100*CG$9)</f>
        <v>0</v>
      </c>
      <c r="CH100" s="37"/>
      <c r="CI100" s="36">
        <f>(CH100/12*2*$E100*$G100*$I100*$O100*$CI$9)+(CH100/12*10*$F100*$G100*$I100*$O100*$CI$9)</f>
        <v>0</v>
      </c>
      <c r="CJ100" s="36"/>
      <c r="CK100" s="36"/>
      <c r="CL100" s="36"/>
      <c r="CM100" s="36"/>
      <c r="CN100" s="41"/>
      <c r="CO100" s="41"/>
      <c r="CP100" s="42">
        <f t="shared" si="91"/>
        <v>32</v>
      </c>
      <c r="CQ100" s="42">
        <f t="shared" si="91"/>
        <v>553450.5386666666</v>
      </c>
    </row>
    <row r="101" spans="1:95" s="3" customFormat="1" ht="45" hidden="1" customHeight="1" x14ac:dyDescent="0.25">
      <c r="A101" s="54"/>
      <c r="B101" s="54">
        <v>73</v>
      </c>
      <c r="C101" s="55" t="s">
        <v>279</v>
      </c>
      <c r="D101" s="68" t="s">
        <v>280</v>
      </c>
      <c r="E101" s="110">
        <v>16026</v>
      </c>
      <c r="F101" s="110">
        <v>16828</v>
      </c>
      <c r="G101" s="73">
        <v>1.68</v>
      </c>
      <c r="H101" s="74"/>
      <c r="I101" s="35">
        <v>1</v>
      </c>
      <c r="J101" s="111"/>
      <c r="K101" s="35"/>
      <c r="L101" s="65">
        <v>1.4</v>
      </c>
      <c r="M101" s="65">
        <v>1.68</v>
      </c>
      <c r="N101" s="65">
        <v>2.23</v>
      </c>
      <c r="O101" s="65">
        <v>2.57</v>
      </c>
      <c r="P101" s="36">
        <v>1</v>
      </c>
      <c r="Q101" s="36">
        <f>SUM(P101/12*2*$E101*$G101*$I101*$L101*$Q$9)+(P101/12*10*$F101*$G101*$I101*$L101*$Q$9)</f>
        <v>39265.072</v>
      </c>
      <c r="R101" s="37"/>
      <c r="S101" s="36">
        <f>SUM(R101/12*2*$E101*$G101*$I101*$L101*S$9)+(R101/12*10*$F101*$G101*$I101*$L101*S$9)</f>
        <v>0</v>
      </c>
      <c r="T101" s="36">
        <v>1</v>
      </c>
      <c r="U101" s="36">
        <f>SUM(T101/12*2*$E101*$G101*$I101*$L101*U$9)+(T101/12*10*$F101*$G101*$I101*$L101*U$9)</f>
        <v>39265.072</v>
      </c>
      <c r="V101" s="36"/>
      <c r="W101" s="36">
        <f>SUM(V101/12*2*$E101*$G101*$I101*$L101*$W$9)+(V101/12*10*$F101*$G101*$I101*$L101*$W$9)</f>
        <v>0</v>
      </c>
      <c r="X101" s="37"/>
      <c r="Y101" s="38">
        <f>SUM(X101/12*2*$E101*$G101*$I101*$L101*Y$9)+(X101/12*10*$F101*$G101*$I101*$L101*Y$9)</f>
        <v>0</v>
      </c>
      <c r="Z101" s="37"/>
      <c r="AA101" s="36"/>
      <c r="AB101" s="37"/>
      <c r="AC101" s="36">
        <f>(AB101/12*2*$E101*$G101*$I101*$L101)+(AB101/12*10*$F101*$G101*$I101*$L101)</f>
        <v>0</v>
      </c>
      <c r="AD101" s="37"/>
      <c r="AE101" s="36">
        <f>(AD101/12*2*$E101*$G101*$I101*$L101*AE$9)+(AD101/12*10*$F101*$G101*$I101*$L101*AE$9)</f>
        <v>0</v>
      </c>
      <c r="AF101" s="37"/>
      <c r="AG101" s="36">
        <f>(AF101/12*2*$E101*$G101*$I101*$M101*AG$9)+(AF101/12*10*$F101*$G101*$I101*$M101*AG$9)</f>
        <v>0</v>
      </c>
      <c r="AH101" s="37"/>
      <c r="AI101" s="36">
        <f>(AH101/12*2*$E101*$G101*$I101*$M101*$AI$9)+(AH101/12*10*$F101*$G101*$I101*$M101*$AI$9)</f>
        <v>0</v>
      </c>
      <c r="AJ101" s="36">
        <v>0</v>
      </c>
      <c r="AK101" s="36">
        <v>0</v>
      </c>
      <c r="AL101" s="37"/>
      <c r="AM101" s="36">
        <f>SUM(AL101/12*2*$E101*$G101*$I101*$L101*AM$9)+(AL101/12*10*$F101*$G101*$I101*$L101*AM$9)</f>
        <v>0</v>
      </c>
      <c r="AN101" s="37"/>
      <c r="AO101" s="36">
        <f>SUM(AN101/12*2*$E101*$G101*$I101*$L101*$AE$9)+(AN101/12*10*$F101*$G101*$I101*$L101*$AE$9)</f>
        <v>0</v>
      </c>
      <c r="AP101" s="37"/>
      <c r="AQ101" s="36"/>
      <c r="AR101" s="37"/>
      <c r="AS101" s="36">
        <f>SUM(AR101/12*2*$E101*$G101*$I101*$L101*AS$9)+(AR101/12*10*$F101*$G101*$I101*$L101*AS$9)</f>
        <v>0</v>
      </c>
      <c r="AT101" s="37"/>
      <c r="AU101" s="36">
        <f>SUM(AT101/12*2*$E101*$G101*$I101*$L101*$AI$9)+(AT101/12*10*$F101*$G101*$I101*$L101*$AI$9)</f>
        <v>0</v>
      </c>
      <c r="AV101" s="37"/>
      <c r="AW101" s="36">
        <f>SUM(AV101/12*2*$E101*$G101*$I101*$L101*AW$9)+(AV101/12*10*$F101*$G101*$I101*$L101*AW$9)</f>
        <v>0</v>
      </c>
      <c r="AX101" s="37"/>
      <c r="AY101" s="36">
        <f>SUM(AX101/12*2*$E101*$G101*$I101*$L101*AY$9)+(AX101/12*10*$F101*$G101*$I101*$L101*AY$9)</f>
        <v>0</v>
      </c>
      <c r="AZ101" s="37"/>
      <c r="BA101" s="36">
        <f>SUM(AZ101/12*2*$E101*$G101*$I101*$L101*BA$9)+(AZ101/12*10*$F101*$G101*$I101*$L101*BA$9)</f>
        <v>0</v>
      </c>
      <c r="BB101" s="37"/>
      <c r="BC101" s="36">
        <f>SUM(BB101/12*2*$E101*$G101*$I101*$L101*BC$9)+(BB101/12*10*$F101*$G101*$I101*$L101*BC$9)</f>
        <v>0</v>
      </c>
      <c r="BD101" s="37"/>
      <c r="BE101" s="36">
        <f>SUM(BD101/12*2*$E101*$G101*$I101*$L101*BE$9)+(BD101/12*10*$F101*$G101*$I101*$L101*BE$9)</f>
        <v>0</v>
      </c>
      <c r="BF101" s="37"/>
      <c r="BG101" s="39">
        <f>(BF101/12*2*$E101*$G101*$I101*$M101*BG$9)+(BF101/12*10*$F101*$G101*$I101*$M101*BG$9)</f>
        <v>0</v>
      </c>
      <c r="BH101" s="60"/>
      <c r="BI101" s="36">
        <f>(BH101/12*2*$E101*$G101*$I101*$M101*BI$9)+(BH101/12*10*$F101*$G101*$I101*$M101*BI$9)</f>
        <v>0</v>
      </c>
      <c r="BJ101" s="37"/>
      <c r="BK101" s="36">
        <f>(BJ101/12*2*$E101*$G101*$I101*$M101*BK$9)+(BJ101/12*10*$F101*$G101*$I101*$M101*BK$9)</f>
        <v>0</v>
      </c>
      <c r="BL101" s="37"/>
      <c r="BM101" s="36">
        <f>(BL101/12*2*$E101*$G101*$I101*$M101*BM$9)+(BL101/12*10*$F101*$G101*$I101*$M101*BM$9)</f>
        <v>0</v>
      </c>
      <c r="BN101" s="37"/>
      <c r="BO101" s="36">
        <f>(BN101/12*10*$F101*$G101*$I101*$M101*BO$9)</f>
        <v>0</v>
      </c>
      <c r="BP101" s="39"/>
      <c r="BQ101" s="36"/>
      <c r="BR101" s="37"/>
      <c r="BS101" s="36">
        <f>(BR101/12*10*$F101*$G101*$I101*$M101*BS$9)</f>
        <v>0</v>
      </c>
      <c r="BT101" s="37"/>
      <c r="BU101" s="36">
        <f>(BT101/12*2*$E101*$G101*$I101*$M101*BU$9)+(BT101/12*10*$F101*$G101*$I101*$M101*BU$9)</f>
        <v>0</v>
      </c>
      <c r="BV101" s="36"/>
      <c r="BW101" s="36">
        <f>(BV101/12*2*$E101*$G101*$I101*$M101*BW$9)+(BV101/12*10*$F101*$G101*$I101*$M101*BW$9)</f>
        <v>0</v>
      </c>
      <c r="BX101" s="37"/>
      <c r="BY101" s="36">
        <f>(BX101/12*2*$E101*$G101*$I101*$M101*BY$9)+(BX101/12*10*$F101*$G101*$I101*$M101*BY$9)</f>
        <v>0</v>
      </c>
      <c r="BZ101" s="37"/>
      <c r="CA101" s="36">
        <f>(BZ101/12*2*$E101*$G101*$I101*$M101*CA$9)+(BZ101/12*10*$F101*$G101*$I101*$M101*CA$9)</f>
        <v>0</v>
      </c>
      <c r="CB101" s="37"/>
      <c r="CC101" s="36">
        <f>(CB101/12*2*$E101*$G101*$I101*$M101*CC$9)+(CB101/12*10*$F101*$G101*$I101*$M101*CC$9)</f>
        <v>0</v>
      </c>
      <c r="CD101" s="37"/>
      <c r="CE101" s="36">
        <f>(CD101/12*2*$E101*$G101*$I101*$M101*CE$9)+(CD101/12*10*$F101*$G101*$I101*$M101*CE$9)</f>
        <v>0</v>
      </c>
      <c r="CF101" s="37"/>
      <c r="CG101" s="36">
        <f>(CF101/12*2*$E101*$G101*$I101*$N101*CG$9)+(CF101/12*10*$F101*$G101*$I101*$N101*CG$9)</f>
        <v>0</v>
      </c>
      <c r="CH101" s="37"/>
      <c r="CI101" s="36">
        <f>(CH101/12*2*$E101*$G101*$I101*$O101*$CI$9)+(CH101/12*10*$F101*$G101*$I101*$O101*$CI$9)</f>
        <v>0</v>
      </c>
      <c r="CJ101" s="36"/>
      <c r="CK101" s="36"/>
      <c r="CL101" s="36"/>
      <c r="CM101" s="36"/>
      <c r="CN101" s="41"/>
      <c r="CO101" s="41"/>
      <c r="CP101" s="42">
        <f t="shared" si="91"/>
        <v>2</v>
      </c>
      <c r="CQ101" s="42">
        <f t="shared" si="91"/>
        <v>78530.144</v>
      </c>
    </row>
    <row r="102" spans="1:95" s="3" customFormat="1" ht="45" hidden="1" customHeight="1" x14ac:dyDescent="0.25">
      <c r="A102" s="54"/>
      <c r="B102" s="54">
        <v>74</v>
      </c>
      <c r="C102" s="55" t="s">
        <v>281</v>
      </c>
      <c r="D102" s="68" t="s">
        <v>282</v>
      </c>
      <c r="E102" s="110">
        <v>16026</v>
      </c>
      <c r="F102" s="110">
        <v>16828</v>
      </c>
      <c r="G102" s="73">
        <v>3.11</v>
      </c>
      <c r="H102" s="74"/>
      <c r="I102" s="35">
        <v>1</v>
      </c>
      <c r="J102" s="111"/>
      <c r="K102" s="35"/>
      <c r="L102" s="65">
        <v>1.4</v>
      </c>
      <c r="M102" s="65">
        <v>1.68</v>
      </c>
      <c r="N102" s="65">
        <v>2.23</v>
      </c>
      <c r="O102" s="65">
        <v>2.57</v>
      </c>
      <c r="P102" s="36">
        <v>3</v>
      </c>
      <c r="Q102" s="36">
        <f>SUM(P102/12*2*$E102*$G102*$I102*$L102*$Q$9)+(P102/12*10*$F102*$G102*$I102*$L102*$Q$9)</f>
        <v>218061.38199999998</v>
      </c>
      <c r="R102" s="37"/>
      <c r="S102" s="36">
        <f>SUM(R102/12*2*$E102*$G102*$I102*$L102*S$9)+(R102/12*10*$F102*$G102*$I102*$L102*S$9)</f>
        <v>0</v>
      </c>
      <c r="T102" s="36"/>
      <c r="U102" s="36">
        <f>SUM(T102/12*2*$E102*$G102*$I102*$L102*U$9)+(T102/12*10*$F102*$G102*$I102*$L102*U$9)</f>
        <v>0</v>
      </c>
      <c r="V102" s="36"/>
      <c r="W102" s="36">
        <f>SUM(V102/12*2*$E102*$G102*$I102*$L102*$W$9)+(V102/12*10*$F102*$G102*$I102*$L102*$W$9)</f>
        <v>0</v>
      </c>
      <c r="X102" s="37"/>
      <c r="Y102" s="38">
        <f>SUM(X102/12*2*$E102*$G102*$I102*$L102*Y$9)+(X102/12*10*$F102*$G102*$I102*$L102*Y$9)</f>
        <v>0</v>
      </c>
      <c r="Z102" s="37"/>
      <c r="AA102" s="36"/>
      <c r="AB102" s="37"/>
      <c r="AC102" s="36">
        <f>(AB102/12*2*$E102*$G102*$I102*$L102)+(AB102/12*10*$F102*$G102*$I102*$L102)</f>
        <v>0</v>
      </c>
      <c r="AD102" s="37"/>
      <c r="AE102" s="36">
        <f>(AD102/12*2*$E102*$G102*$I102*$L102*AE$9)+(AD102/12*10*$F102*$G102*$I102*$L102*AE$9)</f>
        <v>0</v>
      </c>
      <c r="AF102" s="37"/>
      <c r="AG102" s="36">
        <f>(AF102/12*2*$E102*$G102*$I102*$M102*AG$9)+(AF102/12*10*$F102*$G102*$I102*$M102*AG$9)</f>
        <v>0</v>
      </c>
      <c r="AH102" s="37"/>
      <c r="AI102" s="36">
        <f>(AH102/12*2*$E102*$G102*$I102*$M102*$AI$9)+(AH102/12*10*$F102*$G102*$I102*$M102*$AI$9)</f>
        <v>0</v>
      </c>
      <c r="AJ102" s="36">
        <v>0</v>
      </c>
      <c r="AK102" s="36">
        <v>0</v>
      </c>
      <c r="AL102" s="37"/>
      <c r="AM102" s="36">
        <f>SUM(AL102/12*2*$E102*$G102*$I102*$L102*AM$9)+(AL102/12*10*$F102*$G102*$I102*$L102*AM$9)</f>
        <v>0</v>
      </c>
      <c r="AN102" s="37"/>
      <c r="AO102" s="36">
        <f>SUM(AN102/12*2*$E102*$G102*$I102*$L102*$AE$9)+(AN102/12*10*$F102*$G102*$I102*$L102*$AE$9)</f>
        <v>0</v>
      </c>
      <c r="AP102" s="37"/>
      <c r="AQ102" s="36"/>
      <c r="AR102" s="37"/>
      <c r="AS102" s="36">
        <f>SUM(AR102/12*2*$E102*$G102*$I102*$L102*AS$9)+(AR102/12*10*$F102*$G102*$I102*$L102*AS$9)</f>
        <v>0</v>
      </c>
      <c r="AT102" s="37"/>
      <c r="AU102" s="36">
        <f>SUM(AT102/12*2*$E102*$G102*$I102*$L102*$AI$9)+(AT102/12*10*$F102*$G102*$I102*$L102*$AI$9)</f>
        <v>0</v>
      </c>
      <c r="AV102" s="37"/>
      <c r="AW102" s="36">
        <f>SUM(AV102/12*2*$E102*$G102*$I102*$L102*AW$9)+(AV102/12*10*$F102*$G102*$I102*$L102*AW$9)</f>
        <v>0</v>
      </c>
      <c r="AX102" s="37"/>
      <c r="AY102" s="36">
        <f>SUM(AX102/12*2*$E102*$G102*$I102*$L102*AY$9)+(AX102/12*10*$F102*$G102*$I102*$L102*AY$9)</f>
        <v>0</v>
      </c>
      <c r="AZ102" s="37"/>
      <c r="BA102" s="36">
        <f>SUM(AZ102/12*2*$E102*$G102*$I102*$L102*BA$9)+(AZ102/12*10*$F102*$G102*$I102*$L102*BA$9)</f>
        <v>0</v>
      </c>
      <c r="BB102" s="37"/>
      <c r="BC102" s="36">
        <f>SUM(BB102/12*2*$E102*$G102*$I102*$L102*BC$9)+(BB102/12*10*$F102*$G102*$I102*$L102*BC$9)</f>
        <v>0</v>
      </c>
      <c r="BD102" s="37"/>
      <c r="BE102" s="36">
        <f>SUM(BD102/12*2*$E102*$G102*$I102*$L102*BE$9)+(BD102/12*10*$F102*$G102*$I102*$L102*BE$9)</f>
        <v>0</v>
      </c>
      <c r="BF102" s="37"/>
      <c r="BG102" s="39">
        <f>(BF102/12*2*$E102*$G102*$I102*$M102*BG$9)+(BF102/12*10*$F102*$G102*$I102*$M102*BG$9)</f>
        <v>0</v>
      </c>
      <c r="BH102" s="60"/>
      <c r="BI102" s="36">
        <f>(BH102/12*2*$E102*$G102*$I102*$M102*BI$9)+(BH102/12*10*$F102*$G102*$I102*$M102*BI$9)</f>
        <v>0</v>
      </c>
      <c r="BJ102" s="37"/>
      <c r="BK102" s="36">
        <f>(BJ102/12*2*$E102*$G102*$I102*$M102*BK$9)+(BJ102/12*10*$F102*$G102*$I102*$M102*BK$9)</f>
        <v>0</v>
      </c>
      <c r="BL102" s="37"/>
      <c r="BM102" s="36">
        <f>(BL102/12*2*$E102*$G102*$I102*$M102*BM$9)+(BL102/12*10*$F102*$G102*$I102*$M102*BM$9)</f>
        <v>0</v>
      </c>
      <c r="BN102" s="37"/>
      <c r="BO102" s="36">
        <f>(BN102/12*10*$F102*$G102*$I102*$M102*BO$9)</f>
        <v>0</v>
      </c>
      <c r="BP102" s="39"/>
      <c r="BQ102" s="36"/>
      <c r="BR102" s="37"/>
      <c r="BS102" s="36">
        <f>(BR102/12*10*$F102*$G102*$I102*$M102*BS$9)</f>
        <v>0</v>
      </c>
      <c r="BT102" s="37"/>
      <c r="BU102" s="36">
        <f>(BT102/12*2*$E102*$G102*$I102*$M102*BU$9)+(BT102/12*10*$F102*$G102*$I102*$M102*BU$9)</f>
        <v>0</v>
      </c>
      <c r="BV102" s="36"/>
      <c r="BW102" s="36">
        <f>(BV102/12*2*$E102*$G102*$I102*$M102*BW$9)+(BV102/12*10*$F102*$G102*$I102*$M102*BW$9)</f>
        <v>0</v>
      </c>
      <c r="BX102" s="37"/>
      <c r="BY102" s="36">
        <f>(BX102/12*2*$E102*$G102*$I102*$M102*BY$9)+(BX102/12*10*$F102*$G102*$I102*$M102*BY$9)</f>
        <v>0</v>
      </c>
      <c r="BZ102" s="37"/>
      <c r="CA102" s="36">
        <f>(BZ102/12*2*$E102*$G102*$I102*$M102*CA$9)+(BZ102/12*10*$F102*$G102*$I102*$M102*CA$9)</f>
        <v>0</v>
      </c>
      <c r="CB102" s="37"/>
      <c r="CC102" s="36">
        <f>(CB102/12*2*$E102*$G102*$I102*$M102*CC$9)+(CB102/12*10*$F102*$G102*$I102*$M102*CC$9)</f>
        <v>0</v>
      </c>
      <c r="CD102" s="37"/>
      <c r="CE102" s="36">
        <f>(CD102/12*2*$E102*$G102*$I102*$M102*CE$9)+(CD102/12*10*$F102*$G102*$I102*$M102*CE$9)</f>
        <v>0</v>
      </c>
      <c r="CF102" s="37"/>
      <c r="CG102" s="36">
        <f>(CF102/12*2*$E102*$G102*$I102*$N102*CG$9)+(CF102/12*10*$F102*$G102*$I102*$N102*CG$9)</f>
        <v>0</v>
      </c>
      <c r="CH102" s="37"/>
      <c r="CI102" s="36">
        <f>(CH102/12*2*$E102*$G102*$I102*$O102*$CI$9)+(CH102/12*10*$F102*$G102*$I102*$O102*$CI$9)</f>
        <v>0</v>
      </c>
      <c r="CJ102" s="36"/>
      <c r="CK102" s="36"/>
      <c r="CL102" s="36"/>
      <c r="CM102" s="36"/>
      <c r="CN102" s="41"/>
      <c r="CO102" s="41"/>
      <c r="CP102" s="42">
        <f t="shared" si="91"/>
        <v>3</v>
      </c>
      <c r="CQ102" s="42">
        <f t="shared" si="91"/>
        <v>218061.38199999998</v>
      </c>
    </row>
    <row r="103" spans="1:95" s="3" customFormat="1" ht="30" hidden="1" customHeight="1" x14ac:dyDescent="0.25">
      <c r="A103" s="54"/>
      <c r="B103" s="54">
        <v>75</v>
      </c>
      <c r="C103" s="55" t="s">
        <v>283</v>
      </c>
      <c r="D103" s="109" t="s">
        <v>284</v>
      </c>
      <c r="E103" s="110">
        <v>16026</v>
      </c>
      <c r="F103" s="110">
        <v>16828</v>
      </c>
      <c r="G103" s="73">
        <v>0.39</v>
      </c>
      <c r="H103" s="62">
        <v>0.53469999999999995</v>
      </c>
      <c r="I103" s="35">
        <v>1</v>
      </c>
      <c r="J103" s="111"/>
      <c r="K103" s="35"/>
      <c r="L103" s="65">
        <v>1.4</v>
      </c>
      <c r="M103" s="65">
        <v>1.68</v>
      </c>
      <c r="N103" s="65">
        <v>2.23</v>
      </c>
      <c r="O103" s="65">
        <v>2.57</v>
      </c>
      <c r="P103" s="36">
        <v>15</v>
      </c>
      <c r="Q103" s="48">
        <f t="shared" ref="Q103:Q114" si="124">(P103/12*2*$E103*$G103*((1-$H103)+$H103*$L103*$I103))+(P103/12*10*$F103*$G103*((1-$H103)+$H103*$L103*$I103))</f>
        <v>118549.76647800001</v>
      </c>
      <c r="R103" s="37"/>
      <c r="S103" s="48">
        <f t="shared" ref="S103:S114" si="125">(R103/12*2*$E103*$G103*((1-$H103)+$H103*$L103*$I103))+(R103/12*10*$F103*$G103*((1-$H103)+$H103*$L103*$I103))</f>
        <v>0</v>
      </c>
      <c r="T103" s="36"/>
      <c r="U103" s="48">
        <f t="shared" ref="U103:U114" si="126">(T103/12*2*$E103*$G103*((1-$H103)+$H103*$L103*$I103))+(T103/12*10*$F103*$G103*((1-$H103)+$H103*$L103*$I103))</f>
        <v>0</v>
      </c>
      <c r="V103" s="36"/>
      <c r="W103" s="48">
        <f t="shared" ref="W103:W114" si="127">(V103/12*2*$E103*$G103*((1-$H103)+$H103*$L103*$I103))+(V103/12*10*$F103*$G103*((1-$H103)+$H103*$L103*$I103))</f>
        <v>0</v>
      </c>
      <c r="X103" s="37"/>
      <c r="Y103" s="48">
        <f t="shared" ref="Y103:Y114" si="128">(X103/12*2*$E103*$G103*((1-$H103)+$H103*$L103*$I103))+(X103/12*10*$F103*$G103*((1-$H103)+$H103*$L103*$I103))</f>
        <v>0</v>
      </c>
      <c r="Z103" s="37"/>
      <c r="AA103" s="48">
        <f t="shared" ref="AA103:AA114" si="129">(Z103/12*2*$E103*$G103*((1-$H103)+$H103*$L103*$I103))+(Z103/12*10*$F103*$G103*((1-$H103)+$H103*$L103*$I103))</f>
        <v>0</v>
      </c>
      <c r="AB103" s="37"/>
      <c r="AC103" s="48"/>
      <c r="AD103" s="37"/>
      <c r="AE103" s="48">
        <f t="shared" ref="AE103:AE114" si="130">(AD103/12*2*$E103*$G103*((1-$H103)+$H103*$L103*$I103))+(AD103/12*10*$F103*$G103*((1-$H103)+$H103*$L103*$I103))</f>
        <v>0</v>
      </c>
      <c r="AF103" s="37"/>
      <c r="AG103" s="48">
        <f>(AF103/12*2*$E103*$G103*((1-$H103)+$H103*$M103*$I103))+(AF103/12*10*$F103*$G103*((1-$H103)+$H103*$M103*$I103))</f>
        <v>0</v>
      </c>
      <c r="AH103" s="37"/>
      <c r="AI103" s="48">
        <f>(AH103/12*2*$E103*$G103*((1-$H103)+$H103*$M103*$I103))+(AH103/12*10*$F103*$G103*((1-$H103)+$H103*$M103*$I103))</f>
        <v>0</v>
      </c>
      <c r="AJ103" s="48">
        <v>0</v>
      </c>
      <c r="AK103" s="48">
        <v>0</v>
      </c>
      <c r="AL103" s="37"/>
      <c r="AM103" s="48">
        <f>(AL103/12*2*$E103*$G103*((1-$H103)+$H103*$L103*$I103))+(AL103/12*10*$F103*$G103*((1-$H103)+$H103*$L103*$I103))</f>
        <v>0</v>
      </c>
      <c r="AN103" s="37"/>
      <c r="AO103" s="48">
        <f>(AN103/12*2*$E103*$G103*((1-$H103)+$H103*$L103*$I103))+(AN103/12*10*$F103*$G103*((1-$H103)+$H103*$L103*$I103))</f>
        <v>0</v>
      </c>
      <c r="AP103" s="37"/>
      <c r="AQ103" s="48"/>
      <c r="AR103" s="37"/>
      <c r="AS103" s="48"/>
      <c r="AT103" s="37"/>
      <c r="AU103" s="48"/>
      <c r="AV103" s="37"/>
      <c r="AW103" s="48"/>
      <c r="AX103" s="37"/>
      <c r="AY103" s="48"/>
      <c r="AZ103" s="37"/>
      <c r="BA103" s="48"/>
      <c r="BB103" s="37"/>
      <c r="BC103" s="48"/>
      <c r="BD103" s="37"/>
      <c r="BE103" s="48">
        <f t="shared" ref="BE103:BE114" si="131">(BD103/12*2*$E103*$G103*((1-$H103)+$H103*$L103*$I103*BE$9))+(BD103/12*10*$F103*$G103*((1-$H103)+$H103*$L103*$I103*BE$9))</f>
        <v>0</v>
      </c>
      <c r="BF103" s="37"/>
      <c r="BG103" s="48">
        <f t="shared" ref="BG103:BG114" si="132">(BF103/12*2*$E103*$G103*((1-$H103)+$H103*$M103*$I103*BG$9))+(BF103/12*10*$F103*$G103*((1-$H103)+$H103*$M103*$I103*BG$9))</f>
        <v>0</v>
      </c>
      <c r="BH103" s="63"/>
      <c r="BI103" s="48">
        <f t="shared" ref="BI103:BI114" si="133">(BH103/12*2*$E103*$G103*((1-$H103)+$H103*$M103*$I103*BI$9))+(BH103/12*10*$F103*$G103*((1-$H103)+$H103*$M103*$I103*BI$9))</f>
        <v>0</v>
      </c>
      <c r="BJ103" s="37"/>
      <c r="BK103" s="48">
        <f t="shared" ref="BK103:BK114" si="134">(BJ103/12*2*$E103*$G103*((1-$H103)+$H103*$M103*$I103*BK$9))+(BJ103/12*10*$F103*$G103*((1-$H103)+$H103*$M103*$I103*BK$9))</f>
        <v>0</v>
      </c>
      <c r="BL103" s="37"/>
      <c r="BM103" s="48">
        <f t="shared" ref="BM103:BM114" si="135">(BL103/12*2*$E103*$G103*((1-$H103)+$H103*$M103*$I103*BM$9))+(BL103/12*10*$F103*$G103*((1-$H103)+$H103*$M103*$I103*BM$9))</f>
        <v>0</v>
      </c>
      <c r="BN103" s="37"/>
      <c r="BO103" s="48">
        <f t="shared" ref="BO103:BO114" si="136">(BN103/12*10*$F103*$G103*((1-$H103)+$H103*$M103*$I103*BO$9))</f>
        <v>0</v>
      </c>
      <c r="BP103" s="39"/>
      <c r="BQ103" s="48"/>
      <c r="BR103" s="37"/>
      <c r="BS103" s="48">
        <f t="shared" ref="BS103:BS114" si="137">(BR103/12*10*$F103*$G103*((1-$H103)+$H103*$M103*$I103*BS$9))</f>
        <v>0</v>
      </c>
      <c r="BT103" s="37"/>
      <c r="BU103" s="48">
        <f t="shared" ref="BU103:BU114" si="138">(BT103/12*2*$E103*$G103*((1-$H103)+$H103*$M103*$I103*BU$9))+(BT103/12*10*$F103*$G103*((1-$H103)+$H103*$M103*$I103*BU$9))</f>
        <v>0</v>
      </c>
      <c r="BV103" s="36"/>
      <c r="BW103" s="48">
        <f t="shared" ref="BW103:BW114" si="139">(BV103/12*2*$E103*$G103*((1-$H103)+$H103*$M103*$I103*BW$9))+(BV103/12*10*$F103*$G103*((1-$H103)+$H103*$M103*$I103*BW$9))</f>
        <v>0</v>
      </c>
      <c r="BX103" s="37"/>
      <c r="BY103" s="48">
        <f t="shared" ref="BY103:BY114" si="140">(BX103/12*2*$E103*$G103*((1-$H103)+$H103*$M103*$I103*BY$9))+(BX103/12*10*$F103*$G103*((1-$H103)+$H103*$M103*$I103*BY$9))</f>
        <v>0</v>
      </c>
      <c r="BZ103" s="37"/>
      <c r="CA103" s="48">
        <f t="shared" ref="CA103:CA114" si="141">(BZ103/12*2*$E103*$G103*((1-$H103)+$H103*$M103*$I103*CA$9))+(BZ103/12*10*$F103*$G103*((1-$H103)+$H103*$M103*$I103*CA$9))</f>
        <v>0</v>
      </c>
      <c r="CB103" s="37"/>
      <c r="CC103" s="48">
        <f t="shared" ref="CC103:CC114" si="142">(CB103/12*2*$E103*$G103*((1-$H103)+$H103*$M103*$I103*CC$9))+(CB103/12*10*$F103*$G103*((1-$H103)+$H103*$M103*$I103*CC$9))</f>
        <v>0</v>
      </c>
      <c r="CD103" s="37"/>
      <c r="CE103" s="48">
        <f t="shared" ref="CE103:CE114" si="143">(CD103/12*2*$E103*$G103*((1-$H103)+$H103*$M103*$I103*CE$9))+(CD103/12*10*$F103*$G103*((1-$H103)+$H103*$M103*$I103*CE$9))</f>
        <v>0</v>
      </c>
      <c r="CF103" s="37"/>
      <c r="CG103" s="48">
        <f t="shared" ref="CG103:CG114" si="144">(CF103/12*2*$E103*$G103*((1-$H103)+$H103*$N103*$I103*CG$9))+(CF103/12*10*$F103*$G103*((1-$H103)+$H103*$N103*$I103*CG$9))</f>
        <v>0</v>
      </c>
      <c r="CH103" s="37"/>
      <c r="CI103" s="48">
        <f t="shared" ref="CI103:CI114" si="145">(CH103/12*2*$E103*$G103*((1-$H103)+$H103*$O103*$I103))+(CH103/12*10*$F103*$G103*((1-$H103)+$H103*$O103*$I103))</f>
        <v>0</v>
      </c>
      <c r="CJ103" s="36"/>
      <c r="CK103" s="36"/>
      <c r="CL103" s="36"/>
      <c r="CM103" s="36"/>
      <c r="CN103" s="41"/>
      <c r="CO103" s="41"/>
      <c r="CP103" s="42">
        <f t="shared" si="91"/>
        <v>15</v>
      </c>
      <c r="CQ103" s="42">
        <f t="shared" si="91"/>
        <v>118549.76647800001</v>
      </c>
    </row>
    <row r="104" spans="1:95" s="3" customFormat="1" ht="30" hidden="1" customHeight="1" x14ac:dyDescent="0.25">
      <c r="A104" s="54"/>
      <c r="B104" s="54">
        <v>76</v>
      </c>
      <c r="C104" s="55" t="s">
        <v>285</v>
      </c>
      <c r="D104" s="109" t="s">
        <v>286</v>
      </c>
      <c r="E104" s="110">
        <v>16026</v>
      </c>
      <c r="F104" s="110">
        <v>16828</v>
      </c>
      <c r="G104" s="73">
        <v>1.45</v>
      </c>
      <c r="H104" s="62">
        <v>0.53469999999999995</v>
      </c>
      <c r="I104" s="35">
        <v>1</v>
      </c>
      <c r="J104" s="111"/>
      <c r="K104" s="35"/>
      <c r="L104" s="65">
        <v>1.4</v>
      </c>
      <c r="M104" s="65">
        <v>1.68</v>
      </c>
      <c r="N104" s="65">
        <v>2.23</v>
      </c>
      <c r="O104" s="65">
        <v>2.57</v>
      </c>
      <c r="P104" s="36">
        <v>48</v>
      </c>
      <c r="Q104" s="48">
        <f t="shared" si="124"/>
        <v>1410438.2473280001</v>
      </c>
      <c r="R104" s="37"/>
      <c r="S104" s="48">
        <f t="shared" si="125"/>
        <v>0</v>
      </c>
      <c r="T104" s="36"/>
      <c r="U104" s="48">
        <f t="shared" si="126"/>
        <v>0</v>
      </c>
      <c r="V104" s="36"/>
      <c r="W104" s="48">
        <f t="shared" si="127"/>
        <v>0</v>
      </c>
      <c r="X104" s="37"/>
      <c r="Y104" s="48">
        <f t="shared" si="128"/>
        <v>0</v>
      </c>
      <c r="Z104" s="37"/>
      <c r="AA104" s="48">
        <f t="shared" si="129"/>
        <v>0</v>
      </c>
      <c r="AB104" s="37"/>
      <c r="AC104" s="48"/>
      <c r="AD104" s="37"/>
      <c r="AE104" s="48">
        <f t="shared" si="130"/>
        <v>0</v>
      </c>
      <c r="AF104" s="37"/>
      <c r="AG104" s="48">
        <f t="shared" ref="AG104:AG114" si="146">(AF104/12*2*$E104*$G104*((1-$H104)+$H104*$M104*$I104))+(AF104/12*10*$F104*$G104*((1-$H104)+$H104*$M104*$I104))</f>
        <v>0</v>
      </c>
      <c r="AH104" s="37"/>
      <c r="AI104" s="48">
        <f t="shared" ref="AI104:AI114" si="147">(AH104/12*2*$E104*$G104*((1-$H104)+$H104*$M104*$I104))+(AH104/12*10*$F104*$G104*((1-$H104)+$H104*$M104*$I104))</f>
        <v>0</v>
      </c>
      <c r="AJ104" s="48">
        <v>0</v>
      </c>
      <c r="AK104" s="48">
        <v>0</v>
      </c>
      <c r="AL104" s="37"/>
      <c r="AM104" s="48">
        <f t="shared" ref="AM104:AM114" si="148">(AL104/12*2*$E104*$G104*((1-$H104)+$H104*$L104*$I104))+(AL104/12*10*$F104*$G104*((1-$H104)+$H104*$L104*$I104))</f>
        <v>0</v>
      </c>
      <c r="AN104" s="37"/>
      <c r="AO104" s="48">
        <f t="shared" ref="AO104:AO114" si="149">(AN104/12*2*$E104*$G104*((1-$H104)+$H104*$L104*$I104))+(AN104/12*10*$F104*$G104*((1-$H104)+$H104*$L104*$I104))</f>
        <v>0</v>
      </c>
      <c r="AP104" s="37"/>
      <c r="AQ104" s="48"/>
      <c r="AR104" s="37"/>
      <c r="AS104" s="48"/>
      <c r="AT104" s="37"/>
      <c r="AU104" s="48"/>
      <c r="AV104" s="37"/>
      <c r="AW104" s="48"/>
      <c r="AX104" s="37"/>
      <c r="AY104" s="48"/>
      <c r="AZ104" s="37"/>
      <c r="BA104" s="48"/>
      <c r="BB104" s="37"/>
      <c r="BC104" s="48"/>
      <c r="BD104" s="37"/>
      <c r="BE104" s="48">
        <f t="shared" si="131"/>
        <v>0</v>
      </c>
      <c r="BF104" s="37"/>
      <c r="BG104" s="48">
        <f t="shared" si="132"/>
        <v>0</v>
      </c>
      <c r="BH104" s="63"/>
      <c r="BI104" s="48">
        <f t="shared" si="133"/>
        <v>0</v>
      </c>
      <c r="BJ104" s="37"/>
      <c r="BK104" s="48">
        <f t="shared" si="134"/>
        <v>0</v>
      </c>
      <c r="BL104" s="37"/>
      <c r="BM104" s="48">
        <f t="shared" si="135"/>
        <v>0</v>
      </c>
      <c r="BN104" s="37"/>
      <c r="BO104" s="48">
        <f t="shared" si="136"/>
        <v>0</v>
      </c>
      <c r="BP104" s="39"/>
      <c r="BQ104" s="48"/>
      <c r="BR104" s="37"/>
      <c r="BS104" s="48">
        <f t="shared" si="137"/>
        <v>0</v>
      </c>
      <c r="BT104" s="37"/>
      <c r="BU104" s="48">
        <f t="shared" si="138"/>
        <v>0</v>
      </c>
      <c r="BV104" s="36"/>
      <c r="BW104" s="48">
        <f t="shared" si="139"/>
        <v>0</v>
      </c>
      <c r="BX104" s="37"/>
      <c r="BY104" s="48">
        <f t="shared" si="140"/>
        <v>0</v>
      </c>
      <c r="BZ104" s="37"/>
      <c r="CA104" s="48">
        <f t="shared" si="141"/>
        <v>0</v>
      </c>
      <c r="CB104" s="37"/>
      <c r="CC104" s="48">
        <f t="shared" si="142"/>
        <v>0</v>
      </c>
      <c r="CD104" s="37"/>
      <c r="CE104" s="48">
        <f t="shared" si="143"/>
        <v>0</v>
      </c>
      <c r="CF104" s="37"/>
      <c r="CG104" s="48">
        <f t="shared" si="144"/>
        <v>0</v>
      </c>
      <c r="CH104" s="37"/>
      <c r="CI104" s="48">
        <f t="shared" si="145"/>
        <v>0</v>
      </c>
      <c r="CJ104" s="36"/>
      <c r="CK104" s="36"/>
      <c r="CL104" s="36"/>
      <c r="CM104" s="36"/>
      <c r="CN104" s="41"/>
      <c r="CO104" s="41"/>
      <c r="CP104" s="42">
        <f t="shared" si="91"/>
        <v>48</v>
      </c>
      <c r="CQ104" s="42">
        <f t="shared" si="91"/>
        <v>1410438.2473280001</v>
      </c>
    </row>
    <row r="105" spans="1:95" s="3" customFormat="1" ht="30" hidden="1" customHeight="1" x14ac:dyDescent="0.25">
      <c r="A105" s="54"/>
      <c r="B105" s="54">
        <v>77</v>
      </c>
      <c r="C105" s="55" t="s">
        <v>287</v>
      </c>
      <c r="D105" s="109" t="s">
        <v>288</v>
      </c>
      <c r="E105" s="110">
        <v>16026</v>
      </c>
      <c r="F105" s="110">
        <v>16828</v>
      </c>
      <c r="G105" s="73">
        <v>3.04</v>
      </c>
      <c r="H105" s="62">
        <v>0.53469999999999995</v>
      </c>
      <c r="I105" s="35">
        <v>1</v>
      </c>
      <c r="J105" s="111"/>
      <c r="K105" s="35"/>
      <c r="L105" s="65">
        <v>1.4</v>
      </c>
      <c r="M105" s="65">
        <v>1.68</v>
      </c>
      <c r="N105" s="65">
        <v>2.23</v>
      </c>
      <c r="O105" s="65">
        <v>2.57</v>
      </c>
      <c r="P105" s="36">
        <v>9</v>
      </c>
      <c r="Q105" s="48">
        <f t="shared" si="124"/>
        <v>554448.13860479998</v>
      </c>
      <c r="R105" s="37"/>
      <c r="S105" s="48">
        <f t="shared" si="125"/>
        <v>0</v>
      </c>
      <c r="T105" s="36"/>
      <c r="U105" s="48">
        <f t="shared" si="126"/>
        <v>0</v>
      </c>
      <c r="V105" s="36"/>
      <c r="W105" s="48">
        <f t="shared" si="127"/>
        <v>0</v>
      </c>
      <c r="X105" s="37"/>
      <c r="Y105" s="48">
        <f t="shared" si="128"/>
        <v>0</v>
      </c>
      <c r="Z105" s="37"/>
      <c r="AA105" s="48">
        <f t="shared" si="129"/>
        <v>0</v>
      </c>
      <c r="AB105" s="37"/>
      <c r="AC105" s="48"/>
      <c r="AD105" s="37"/>
      <c r="AE105" s="48">
        <f t="shared" si="130"/>
        <v>0</v>
      </c>
      <c r="AF105" s="37"/>
      <c r="AG105" s="48">
        <f t="shared" si="146"/>
        <v>0</v>
      </c>
      <c r="AH105" s="37"/>
      <c r="AI105" s="48">
        <f t="shared" si="147"/>
        <v>0</v>
      </c>
      <c r="AJ105" s="48">
        <v>0</v>
      </c>
      <c r="AK105" s="48">
        <v>0</v>
      </c>
      <c r="AL105" s="37"/>
      <c r="AM105" s="48">
        <f t="shared" si="148"/>
        <v>0</v>
      </c>
      <c r="AN105" s="37"/>
      <c r="AO105" s="48">
        <f t="shared" si="149"/>
        <v>0</v>
      </c>
      <c r="AP105" s="37"/>
      <c r="AQ105" s="48"/>
      <c r="AR105" s="37"/>
      <c r="AS105" s="48"/>
      <c r="AT105" s="37"/>
      <c r="AU105" s="48"/>
      <c r="AV105" s="37"/>
      <c r="AW105" s="48"/>
      <c r="AX105" s="37"/>
      <c r="AY105" s="48"/>
      <c r="AZ105" s="37"/>
      <c r="BA105" s="48"/>
      <c r="BB105" s="37"/>
      <c r="BC105" s="48"/>
      <c r="BD105" s="37"/>
      <c r="BE105" s="48">
        <f t="shared" si="131"/>
        <v>0</v>
      </c>
      <c r="BF105" s="37"/>
      <c r="BG105" s="48">
        <f t="shared" si="132"/>
        <v>0</v>
      </c>
      <c r="BH105" s="63"/>
      <c r="BI105" s="48">
        <f t="shared" si="133"/>
        <v>0</v>
      </c>
      <c r="BJ105" s="37"/>
      <c r="BK105" s="48">
        <f t="shared" si="134"/>
        <v>0</v>
      </c>
      <c r="BL105" s="37"/>
      <c r="BM105" s="48">
        <f t="shared" si="135"/>
        <v>0</v>
      </c>
      <c r="BN105" s="37"/>
      <c r="BO105" s="48">
        <f t="shared" si="136"/>
        <v>0</v>
      </c>
      <c r="BP105" s="39"/>
      <c r="BQ105" s="48"/>
      <c r="BR105" s="37"/>
      <c r="BS105" s="48">
        <f t="shared" si="137"/>
        <v>0</v>
      </c>
      <c r="BT105" s="37"/>
      <c r="BU105" s="48">
        <f t="shared" si="138"/>
        <v>0</v>
      </c>
      <c r="BV105" s="36"/>
      <c r="BW105" s="48">
        <f t="shared" si="139"/>
        <v>0</v>
      </c>
      <c r="BX105" s="37"/>
      <c r="BY105" s="48">
        <f t="shared" si="140"/>
        <v>0</v>
      </c>
      <c r="BZ105" s="37"/>
      <c r="CA105" s="48">
        <f t="shared" si="141"/>
        <v>0</v>
      </c>
      <c r="CB105" s="37"/>
      <c r="CC105" s="48">
        <f t="shared" si="142"/>
        <v>0</v>
      </c>
      <c r="CD105" s="37"/>
      <c r="CE105" s="48">
        <f t="shared" si="143"/>
        <v>0</v>
      </c>
      <c r="CF105" s="37"/>
      <c r="CG105" s="48">
        <f t="shared" si="144"/>
        <v>0</v>
      </c>
      <c r="CH105" s="37"/>
      <c r="CI105" s="48">
        <f t="shared" si="145"/>
        <v>0</v>
      </c>
      <c r="CJ105" s="36"/>
      <c r="CK105" s="36"/>
      <c r="CL105" s="36"/>
      <c r="CM105" s="36"/>
      <c r="CN105" s="41"/>
      <c r="CO105" s="41"/>
      <c r="CP105" s="42">
        <f t="shared" si="91"/>
        <v>9</v>
      </c>
      <c r="CQ105" s="42">
        <f t="shared" si="91"/>
        <v>554448.13860479998</v>
      </c>
    </row>
    <row r="106" spans="1:95" s="3" customFormat="1" ht="30" hidden="1" customHeight="1" x14ac:dyDescent="0.25">
      <c r="A106" s="54"/>
      <c r="B106" s="54">
        <v>78</v>
      </c>
      <c r="C106" s="55" t="s">
        <v>289</v>
      </c>
      <c r="D106" s="109" t="s">
        <v>290</v>
      </c>
      <c r="E106" s="110">
        <v>16026</v>
      </c>
      <c r="F106" s="110">
        <v>16828</v>
      </c>
      <c r="G106" s="73">
        <v>5.63</v>
      </c>
      <c r="H106" s="62">
        <v>0.53469999999999995</v>
      </c>
      <c r="I106" s="35">
        <v>1</v>
      </c>
      <c r="J106" s="111"/>
      <c r="K106" s="35"/>
      <c r="L106" s="65">
        <v>1.4</v>
      </c>
      <c r="M106" s="65">
        <v>1.68</v>
      </c>
      <c r="N106" s="65">
        <v>2.23</v>
      </c>
      <c r="O106" s="65">
        <v>2.57</v>
      </c>
      <c r="P106" s="36">
        <v>2</v>
      </c>
      <c r="Q106" s="48">
        <f t="shared" si="124"/>
        <v>228182.96932346665</v>
      </c>
      <c r="R106" s="37"/>
      <c r="S106" s="48">
        <f t="shared" si="125"/>
        <v>0</v>
      </c>
      <c r="T106" s="36"/>
      <c r="U106" s="48">
        <f t="shared" si="126"/>
        <v>0</v>
      </c>
      <c r="V106" s="36"/>
      <c r="W106" s="48">
        <f t="shared" si="127"/>
        <v>0</v>
      </c>
      <c r="X106" s="37"/>
      <c r="Y106" s="48">
        <f t="shared" si="128"/>
        <v>0</v>
      </c>
      <c r="Z106" s="37"/>
      <c r="AA106" s="48">
        <f t="shared" si="129"/>
        <v>0</v>
      </c>
      <c r="AB106" s="37"/>
      <c r="AC106" s="48"/>
      <c r="AD106" s="37"/>
      <c r="AE106" s="48">
        <f t="shared" si="130"/>
        <v>0</v>
      </c>
      <c r="AF106" s="37"/>
      <c r="AG106" s="48">
        <f t="shared" si="146"/>
        <v>0</v>
      </c>
      <c r="AH106" s="37"/>
      <c r="AI106" s="48">
        <f t="shared" si="147"/>
        <v>0</v>
      </c>
      <c r="AJ106" s="48">
        <v>0</v>
      </c>
      <c r="AK106" s="48">
        <v>0</v>
      </c>
      <c r="AL106" s="37"/>
      <c r="AM106" s="48">
        <f t="shared" si="148"/>
        <v>0</v>
      </c>
      <c r="AN106" s="37"/>
      <c r="AO106" s="48">
        <f t="shared" si="149"/>
        <v>0</v>
      </c>
      <c r="AP106" s="37"/>
      <c r="AQ106" s="48"/>
      <c r="AR106" s="37"/>
      <c r="AS106" s="48"/>
      <c r="AT106" s="37"/>
      <c r="AU106" s="48"/>
      <c r="AV106" s="37"/>
      <c r="AW106" s="48"/>
      <c r="AX106" s="37"/>
      <c r="AY106" s="48"/>
      <c r="AZ106" s="37"/>
      <c r="BA106" s="48"/>
      <c r="BB106" s="37"/>
      <c r="BC106" s="48"/>
      <c r="BD106" s="37"/>
      <c r="BE106" s="48">
        <f t="shared" si="131"/>
        <v>0</v>
      </c>
      <c r="BF106" s="37"/>
      <c r="BG106" s="48">
        <f t="shared" si="132"/>
        <v>0</v>
      </c>
      <c r="BH106" s="63"/>
      <c r="BI106" s="48">
        <f t="shared" si="133"/>
        <v>0</v>
      </c>
      <c r="BJ106" s="37"/>
      <c r="BK106" s="48">
        <f t="shared" si="134"/>
        <v>0</v>
      </c>
      <c r="BL106" s="37"/>
      <c r="BM106" s="48">
        <f t="shared" si="135"/>
        <v>0</v>
      </c>
      <c r="BN106" s="37"/>
      <c r="BO106" s="48">
        <f t="shared" si="136"/>
        <v>0</v>
      </c>
      <c r="BP106" s="39"/>
      <c r="BQ106" s="48"/>
      <c r="BR106" s="37"/>
      <c r="BS106" s="48">
        <f t="shared" si="137"/>
        <v>0</v>
      </c>
      <c r="BT106" s="37"/>
      <c r="BU106" s="48">
        <f t="shared" si="138"/>
        <v>0</v>
      </c>
      <c r="BV106" s="36"/>
      <c r="BW106" s="48">
        <f t="shared" si="139"/>
        <v>0</v>
      </c>
      <c r="BX106" s="37"/>
      <c r="BY106" s="48">
        <f t="shared" si="140"/>
        <v>0</v>
      </c>
      <c r="BZ106" s="37"/>
      <c r="CA106" s="48">
        <f t="shared" si="141"/>
        <v>0</v>
      </c>
      <c r="CB106" s="37"/>
      <c r="CC106" s="48">
        <f t="shared" si="142"/>
        <v>0</v>
      </c>
      <c r="CD106" s="37"/>
      <c r="CE106" s="48">
        <f t="shared" si="143"/>
        <v>0</v>
      </c>
      <c r="CF106" s="37"/>
      <c r="CG106" s="48">
        <f t="shared" si="144"/>
        <v>0</v>
      </c>
      <c r="CH106" s="37"/>
      <c r="CI106" s="48">
        <f t="shared" si="145"/>
        <v>0</v>
      </c>
      <c r="CJ106" s="36"/>
      <c r="CK106" s="36"/>
      <c r="CL106" s="36"/>
      <c r="CM106" s="36"/>
      <c r="CN106" s="41"/>
      <c r="CO106" s="41"/>
      <c r="CP106" s="42">
        <f t="shared" si="91"/>
        <v>2</v>
      </c>
      <c r="CQ106" s="42">
        <f t="shared" si="91"/>
        <v>228182.96932346665</v>
      </c>
    </row>
    <row r="107" spans="1:95" s="3" customFormat="1" ht="60" hidden="1" customHeight="1" x14ac:dyDescent="0.25">
      <c r="A107" s="54"/>
      <c r="B107" s="54">
        <v>79</v>
      </c>
      <c r="C107" s="55" t="s">
        <v>291</v>
      </c>
      <c r="D107" s="109" t="s">
        <v>292</v>
      </c>
      <c r="E107" s="110">
        <v>16026</v>
      </c>
      <c r="F107" s="110">
        <v>16828</v>
      </c>
      <c r="G107" s="73">
        <v>2.78</v>
      </c>
      <c r="H107" s="62">
        <v>8.4599999999999995E-2</v>
      </c>
      <c r="I107" s="35">
        <v>1</v>
      </c>
      <c r="J107" s="111"/>
      <c r="K107" s="35"/>
      <c r="L107" s="65">
        <v>1.4</v>
      </c>
      <c r="M107" s="65">
        <v>1.68</v>
      </c>
      <c r="N107" s="65">
        <v>2.23</v>
      </c>
      <c r="O107" s="65">
        <v>2.57</v>
      </c>
      <c r="P107" s="36">
        <v>3</v>
      </c>
      <c r="Q107" s="48">
        <f t="shared" si="124"/>
        <v>143942.3082416</v>
      </c>
      <c r="R107" s="37"/>
      <c r="S107" s="48">
        <f t="shared" si="125"/>
        <v>0</v>
      </c>
      <c r="T107" s="36"/>
      <c r="U107" s="48">
        <f t="shared" si="126"/>
        <v>0</v>
      </c>
      <c r="V107" s="36"/>
      <c r="W107" s="48">
        <f t="shared" si="127"/>
        <v>0</v>
      </c>
      <c r="X107" s="37"/>
      <c r="Y107" s="48">
        <f t="shared" si="128"/>
        <v>0</v>
      </c>
      <c r="Z107" s="37"/>
      <c r="AA107" s="48">
        <f t="shared" si="129"/>
        <v>0</v>
      </c>
      <c r="AB107" s="37"/>
      <c r="AC107" s="48"/>
      <c r="AD107" s="37"/>
      <c r="AE107" s="48">
        <f t="shared" si="130"/>
        <v>0</v>
      </c>
      <c r="AF107" s="37"/>
      <c r="AG107" s="48">
        <f t="shared" si="146"/>
        <v>0</v>
      </c>
      <c r="AH107" s="37"/>
      <c r="AI107" s="48">
        <f t="shared" si="147"/>
        <v>0</v>
      </c>
      <c r="AJ107" s="48">
        <v>0</v>
      </c>
      <c r="AK107" s="48">
        <v>0</v>
      </c>
      <c r="AL107" s="37"/>
      <c r="AM107" s="48">
        <f t="shared" si="148"/>
        <v>0</v>
      </c>
      <c r="AN107" s="37"/>
      <c r="AO107" s="48">
        <f t="shared" si="149"/>
        <v>0</v>
      </c>
      <c r="AP107" s="37"/>
      <c r="AQ107" s="48"/>
      <c r="AR107" s="37"/>
      <c r="AS107" s="48"/>
      <c r="AT107" s="37"/>
      <c r="AU107" s="48"/>
      <c r="AV107" s="37"/>
      <c r="AW107" s="48"/>
      <c r="AX107" s="37"/>
      <c r="AY107" s="48"/>
      <c r="AZ107" s="37"/>
      <c r="BA107" s="48"/>
      <c r="BB107" s="37"/>
      <c r="BC107" s="48"/>
      <c r="BD107" s="37"/>
      <c r="BE107" s="48">
        <f t="shared" si="131"/>
        <v>0</v>
      </c>
      <c r="BF107" s="37"/>
      <c r="BG107" s="48">
        <f t="shared" si="132"/>
        <v>0</v>
      </c>
      <c r="BH107" s="63"/>
      <c r="BI107" s="48">
        <f t="shared" si="133"/>
        <v>0</v>
      </c>
      <c r="BJ107" s="37"/>
      <c r="BK107" s="48">
        <f t="shared" si="134"/>
        <v>0</v>
      </c>
      <c r="BL107" s="37"/>
      <c r="BM107" s="48">
        <f t="shared" si="135"/>
        <v>0</v>
      </c>
      <c r="BN107" s="37"/>
      <c r="BO107" s="48">
        <f t="shared" si="136"/>
        <v>0</v>
      </c>
      <c r="BP107" s="39"/>
      <c r="BQ107" s="48"/>
      <c r="BR107" s="37"/>
      <c r="BS107" s="48">
        <f t="shared" si="137"/>
        <v>0</v>
      </c>
      <c r="BT107" s="37"/>
      <c r="BU107" s="48">
        <f t="shared" si="138"/>
        <v>0</v>
      </c>
      <c r="BV107" s="36"/>
      <c r="BW107" s="48">
        <f t="shared" si="139"/>
        <v>0</v>
      </c>
      <c r="BX107" s="37"/>
      <c r="BY107" s="48">
        <f t="shared" si="140"/>
        <v>0</v>
      </c>
      <c r="BZ107" s="37"/>
      <c r="CA107" s="48">
        <f t="shared" si="141"/>
        <v>0</v>
      </c>
      <c r="CB107" s="37"/>
      <c r="CC107" s="48">
        <f t="shared" si="142"/>
        <v>0</v>
      </c>
      <c r="CD107" s="37"/>
      <c r="CE107" s="48">
        <f t="shared" si="143"/>
        <v>0</v>
      </c>
      <c r="CF107" s="37"/>
      <c r="CG107" s="48">
        <f t="shared" si="144"/>
        <v>0</v>
      </c>
      <c r="CH107" s="37"/>
      <c r="CI107" s="48">
        <f t="shared" si="145"/>
        <v>0</v>
      </c>
      <c r="CJ107" s="36"/>
      <c r="CK107" s="36"/>
      <c r="CL107" s="36"/>
      <c r="CM107" s="36"/>
      <c r="CN107" s="41"/>
      <c r="CO107" s="41"/>
      <c r="CP107" s="42">
        <f t="shared" si="91"/>
        <v>3</v>
      </c>
      <c r="CQ107" s="42">
        <f t="shared" si="91"/>
        <v>143942.3082416</v>
      </c>
    </row>
    <row r="108" spans="1:95" s="3" customFormat="1" ht="60" hidden="1" customHeight="1" x14ac:dyDescent="0.25">
      <c r="A108" s="54"/>
      <c r="B108" s="54">
        <v>80</v>
      </c>
      <c r="C108" s="55" t="s">
        <v>293</v>
      </c>
      <c r="D108" s="109" t="s">
        <v>294</v>
      </c>
      <c r="E108" s="110">
        <v>16026</v>
      </c>
      <c r="F108" s="110">
        <v>16828</v>
      </c>
      <c r="G108" s="73">
        <v>3.82</v>
      </c>
      <c r="H108" s="62">
        <v>0.20749999999999999</v>
      </c>
      <c r="I108" s="35">
        <v>1</v>
      </c>
      <c r="J108" s="111"/>
      <c r="K108" s="35"/>
      <c r="L108" s="65">
        <v>1.4</v>
      </c>
      <c r="M108" s="65">
        <v>1.68</v>
      </c>
      <c r="N108" s="65">
        <v>2.23</v>
      </c>
      <c r="O108" s="65">
        <v>2.57</v>
      </c>
      <c r="P108" s="36">
        <v>12</v>
      </c>
      <c r="Q108" s="48">
        <f t="shared" si="124"/>
        <v>828785.50391999993</v>
      </c>
      <c r="R108" s="37"/>
      <c r="S108" s="48">
        <f t="shared" si="125"/>
        <v>0</v>
      </c>
      <c r="T108" s="36"/>
      <c r="U108" s="48">
        <f t="shared" si="126"/>
        <v>0</v>
      </c>
      <c r="V108" s="36"/>
      <c r="W108" s="48">
        <f t="shared" si="127"/>
        <v>0</v>
      </c>
      <c r="X108" s="37"/>
      <c r="Y108" s="48">
        <f t="shared" si="128"/>
        <v>0</v>
      </c>
      <c r="Z108" s="37"/>
      <c r="AA108" s="48">
        <f t="shared" si="129"/>
        <v>0</v>
      </c>
      <c r="AB108" s="37"/>
      <c r="AC108" s="48"/>
      <c r="AD108" s="37"/>
      <c r="AE108" s="48">
        <f t="shared" si="130"/>
        <v>0</v>
      </c>
      <c r="AF108" s="37"/>
      <c r="AG108" s="48">
        <f t="shared" si="146"/>
        <v>0</v>
      </c>
      <c r="AH108" s="37"/>
      <c r="AI108" s="48">
        <f t="shared" si="147"/>
        <v>0</v>
      </c>
      <c r="AJ108" s="48">
        <v>0</v>
      </c>
      <c r="AK108" s="48">
        <v>0</v>
      </c>
      <c r="AL108" s="37"/>
      <c r="AM108" s="48">
        <f t="shared" si="148"/>
        <v>0</v>
      </c>
      <c r="AN108" s="37"/>
      <c r="AO108" s="48">
        <f t="shared" si="149"/>
        <v>0</v>
      </c>
      <c r="AP108" s="37"/>
      <c r="AQ108" s="48"/>
      <c r="AR108" s="37"/>
      <c r="AS108" s="48"/>
      <c r="AT108" s="37"/>
      <c r="AU108" s="48"/>
      <c r="AV108" s="37"/>
      <c r="AW108" s="48"/>
      <c r="AX108" s="37"/>
      <c r="AY108" s="48"/>
      <c r="AZ108" s="37"/>
      <c r="BA108" s="48"/>
      <c r="BB108" s="37"/>
      <c r="BC108" s="48"/>
      <c r="BD108" s="37"/>
      <c r="BE108" s="48">
        <f t="shared" si="131"/>
        <v>0</v>
      </c>
      <c r="BF108" s="37"/>
      <c r="BG108" s="48">
        <f t="shared" si="132"/>
        <v>0</v>
      </c>
      <c r="BH108" s="63"/>
      <c r="BI108" s="48">
        <f t="shared" si="133"/>
        <v>0</v>
      </c>
      <c r="BJ108" s="37"/>
      <c r="BK108" s="48">
        <f t="shared" si="134"/>
        <v>0</v>
      </c>
      <c r="BL108" s="37"/>
      <c r="BM108" s="48">
        <f t="shared" si="135"/>
        <v>0</v>
      </c>
      <c r="BN108" s="37"/>
      <c r="BO108" s="48">
        <f t="shared" si="136"/>
        <v>0</v>
      </c>
      <c r="BP108" s="39"/>
      <c r="BQ108" s="48"/>
      <c r="BR108" s="37"/>
      <c r="BS108" s="48">
        <f t="shared" si="137"/>
        <v>0</v>
      </c>
      <c r="BT108" s="37"/>
      <c r="BU108" s="48">
        <f t="shared" si="138"/>
        <v>0</v>
      </c>
      <c r="BV108" s="36"/>
      <c r="BW108" s="48">
        <f t="shared" si="139"/>
        <v>0</v>
      </c>
      <c r="BX108" s="37"/>
      <c r="BY108" s="48">
        <f t="shared" si="140"/>
        <v>0</v>
      </c>
      <c r="BZ108" s="37"/>
      <c r="CA108" s="48">
        <f t="shared" si="141"/>
        <v>0</v>
      </c>
      <c r="CB108" s="37"/>
      <c r="CC108" s="48">
        <f t="shared" si="142"/>
        <v>0</v>
      </c>
      <c r="CD108" s="37"/>
      <c r="CE108" s="48">
        <f t="shared" si="143"/>
        <v>0</v>
      </c>
      <c r="CF108" s="37"/>
      <c r="CG108" s="48">
        <f t="shared" si="144"/>
        <v>0</v>
      </c>
      <c r="CH108" s="37"/>
      <c r="CI108" s="48">
        <f t="shared" si="145"/>
        <v>0</v>
      </c>
      <c r="CJ108" s="36"/>
      <c r="CK108" s="36"/>
      <c r="CL108" s="36"/>
      <c r="CM108" s="36"/>
      <c r="CN108" s="41"/>
      <c r="CO108" s="41"/>
      <c r="CP108" s="42">
        <f t="shared" si="91"/>
        <v>12</v>
      </c>
      <c r="CQ108" s="42">
        <f t="shared" si="91"/>
        <v>828785.50391999993</v>
      </c>
    </row>
    <row r="109" spans="1:95" s="3" customFormat="1" ht="60" hidden="1" customHeight="1" x14ac:dyDescent="0.25">
      <c r="A109" s="54"/>
      <c r="B109" s="54">
        <v>81</v>
      </c>
      <c r="C109" s="55" t="s">
        <v>295</v>
      </c>
      <c r="D109" s="109" t="s">
        <v>296</v>
      </c>
      <c r="E109" s="110">
        <v>16026</v>
      </c>
      <c r="F109" s="110">
        <v>16828</v>
      </c>
      <c r="G109" s="73">
        <v>5.49</v>
      </c>
      <c r="H109" s="62">
        <v>0.307</v>
      </c>
      <c r="I109" s="35">
        <v>1</v>
      </c>
      <c r="J109" s="111"/>
      <c r="K109" s="35"/>
      <c r="L109" s="65">
        <v>1.4</v>
      </c>
      <c r="M109" s="65">
        <v>1.68</v>
      </c>
      <c r="N109" s="65">
        <v>2.23</v>
      </c>
      <c r="O109" s="65">
        <v>2.57</v>
      </c>
      <c r="P109" s="36">
        <v>18</v>
      </c>
      <c r="Q109" s="48">
        <f t="shared" si="124"/>
        <v>1852321.3576560002</v>
      </c>
      <c r="R109" s="37"/>
      <c r="S109" s="48">
        <f t="shared" si="125"/>
        <v>0</v>
      </c>
      <c r="T109" s="36"/>
      <c r="U109" s="48">
        <f t="shared" si="126"/>
        <v>0</v>
      </c>
      <c r="V109" s="36"/>
      <c r="W109" s="48">
        <f t="shared" si="127"/>
        <v>0</v>
      </c>
      <c r="X109" s="37"/>
      <c r="Y109" s="48">
        <f t="shared" si="128"/>
        <v>0</v>
      </c>
      <c r="Z109" s="37"/>
      <c r="AA109" s="48">
        <f t="shared" si="129"/>
        <v>0</v>
      </c>
      <c r="AB109" s="37"/>
      <c r="AC109" s="48"/>
      <c r="AD109" s="37"/>
      <c r="AE109" s="48">
        <f t="shared" si="130"/>
        <v>0</v>
      </c>
      <c r="AF109" s="37"/>
      <c r="AG109" s="48">
        <f t="shared" si="146"/>
        <v>0</v>
      </c>
      <c r="AH109" s="37"/>
      <c r="AI109" s="48">
        <f t="shared" si="147"/>
        <v>0</v>
      </c>
      <c r="AJ109" s="48">
        <v>0</v>
      </c>
      <c r="AK109" s="48">
        <v>0</v>
      </c>
      <c r="AL109" s="37"/>
      <c r="AM109" s="48">
        <f t="shared" si="148"/>
        <v>0</v>
      </c>
      <c r="AN109" s="37"/>
      <c r="AO109" s="48">
        <f t="shared" si="149"/>
        <v>0</v>
      </c>
      <c r="AP109" s="37"/>
      <c r="AQ109" s="48"/>
      <c r="AR109" s="37"/>
      <c r="AS109" s="48"/>
      <c r="AT109" s="37"/>
      <c r="AU109" s="48"/>
      <c r="AV109" s="37"/>
      <c r="AW109" s="48"/>
      <c r="AX109" s="37"/>
      <c r="AY109" s="48"/>
      <c r="AZ109" s="37"/>
      <c r="BA109" s="48"/>
      <c r="BB109" s="37"/>
      <c r="BC109" s="48"/>
      <c r="BD109" s="37"/>
      <c r="BE109" s="48">
        <f t="shared" si="131"/>
        <v>0</v>
      </c>
      <c r="BF109" s="37"/>
      <c r="BG109" s="48">
        <f t="shared" si="132"/>
        <v>0</v>
      </c>
      <c r="BH109" s="63"/>
      <c r="BI109" s="48">
        <f t="shared" si="133"/>
        <v>0</v>
      </c>
      <c r="BJ109" s="37"/>
      <c r="BK109" s="48">
        <f t="shared" si="134"/>
        <v>0</v>
      </c>
      <c r="BL109" s="37"/>
      <c r="BM109" s="48">
        <f t="shared" si="135"/>
        <v>0</v>
      </c>
      <c r="BN109" s="37"/>
      <c r="BO109" s="48">
        <f t="shared" si="136"/>
        <v>0</v>
      </c>
      <c r="BP109" s="39"/>
      <c r="BQ109" s="48"/>
      <c r="BR109" s="37"/>
      <c r="BS109" s="48">
        <f t="shared" si="137"/>
        <v>0</v>
      </c>
      <c r="BT109" s="37"/>
      <c r="BU109" s="48">
        <f t="shared" si="138"/>
        <v>0</v>
      </c>
      <c r="BV109" s="36"/>
      <c r="BW109" s="48">
        <f t="shared" si="139"/>
        <v>0</v>
      </c>
      <c r="BX109" s="37"/>
      <c r="BY109" s="48">
        <f t="shared" si="140"/>
        <v>0</v>
      </c>
      <c r="BZ109" s="37"/>
      <c r="CA109" s="48">
        <f t="shared" si="141"/>
        <v>0</v>
      </c>
      <c r="CB109" s="37"/>
      <c r="CC109" s="48">
        <f t="shared" si="142"/>
        <v>0</v>
      </c>
      <c r="CD109" s="37"/>
      <c r="CE109" s="48">
        <f t="shared" si="143"/>
        <v>0</v>
      </c>
      <c r="CF109" s="37"/>
      <c r="CG109" s="48">
        <f t="shared" si="144"/>
        <v>0</v>
      </c>
      <c r="CH109" s="37"/>
      <c r="CI109" s="48">
        <f t="shared" si="145"/>
        <v>0</v>
      </c>
      <c r="CJ109" s="36"/>
      <c r="CK109" s="36"/>
      <c r="CL109" s="36"/>
      <c r="CM109" s="36"/>
      <c r="CN109" s="41"/>
      <c r="CO109" s="41"/>
      <c r="CP109" s="42">
        <f t="shared" si="91"/>
        <v>18</v>
      </c>
      <c r="CQ109" s="42">
        <f t="shared" si="91"/>
        <v>1852321.3576560002</v>
      </c>
    </row>
    <row r="110" spans="1:95" s="3" customFormat="1" ht="60" hidden="1" customHeight="1" x14ac:dyDescent="0.25">
      <c r="A110" s="54"/>
      <c r="B110" s="54">
        <v>82</v>
      </c>
      <c r="C110" s="55" t="s">
        <v>297</v>
      </c>
      <c r="D110" s="109" t="s">
        <v>298</v>
      </c>
      <c r="E110" s="110">
        <v>16026</v>
      </c>
      <c r="F110" s="110">
        <v>16828</v>
      </c>
      <c r="G110" s="73">
        <v>8.02</v>
      </c>
      <c r="H110" s="62">
        <v>0.37880000000000003</v>
      </c>
      <c r="I110" s="35">
        <v>1</v>
      </c>
      <c r="J110" s="111"/>
      <c r="K110" s="35"/>
      <c r="L110" s="65">
        <v>1.4</v>
      </c>
      <c r="M110" s="65">
        <v>1.68</v>
      </c>
      <c r="N110" s="65">
        <v>2.23</v>
      </c>
      <c r="O110" s="65">
        <v>2.57</v>
      </c>
      <c r="P110" s="36">
        <v>3</v>
      </c>
      <c r="Q110" s="48">
        <f t="shared" si="124"/>
        <v>462526.04080319998</v>
      </c>
      <c r="R110" s="37"/>
      <c r="S110" s="48">
        <f t="shared" si="125"/>
        <v>0</v>
      </c>
      <c r="T110" s="36"/>
      <c r="U110" s="48">
        <f t="shared" si="126"/>
        <v>0</v>
      </c>
      <c r="V110" s="36"/>
      <c r="W110" s="48">
        <f t="shared" si="127"/>
        <v>0</v>
      </c>
      <c r="X110" s="37"/>
      <c r="Y110" s="48">
        <f t="shared" si="128"/>
        <v>0</v>
      </c>
      <c r="Z110" s="37"/>
      <c r="AA110" s="48">
        <f t="shared" si="129"/>
        <v>0</v>
      </c>
      <c r="AB110" s="37"/>
      <c r="AC110" s="48"/>
      <c r="AD110" s="37"/>
      <c r="AE110" s="48">
        <f t="shared" si="130"/>
        <v>0</v>
      </c>
      <c r="AF110" s="37"/>
      <c r="AG110" s="48">
        <f t="shared" si="146"/>
        <v>0</v>
      </c>
      <c r="AH110" s="37"/>
      <c r="AI110" s="48">
        <f t="shared" si="147"/>
        <v>0</v>
      </c>
      <c r="AJ110" s="48">
        <v>0</v>
      </c>
      <c r="AK110" s="48">
        <v>0</v>
      </c>
      <c r="AL110" s="37"/>
      <c r="AM110" s="48">
        <f t="shared" si="148"/>
        <v>0</v>
      </c>
      <c r="AN110" s="37"/>
      <c r="AO110" s="48">
        <f t="shared" si="149"/>
        <v>0</v>
      </c>
      <c r="AP110" s="37"/>
      <c r="AQ110" s="48"/>
      <c r="AR110" s="37"/>
      <c r="AS110" s="48"/>
      <c r="AT110" s="37"/>
      <c r="AU110" s="48"/>
      <c r="AV110" s="37"/>
      <c r="AW110" s="48"/>
      <c r="AX110" s="37"/>
      <c r="AY110" s="48"/>
      <c r="AZ110" s="37"/>
      <c r="BA110" s="48"/>
      <c r="BB110" s="37"/>
      <c r="BC110" s="48"/>
      <c r="BD110" s="37"/>
      <c r="BE110" s="48">
        <f t="shared" si="131"/>
        <v>0</v>
      </c>
      <c r="BF110" s="37"/>
      <c r="BG110" s="48">
        <f t="shared" si="132"/>
        <v>0</v>
      </c>
      <c r="BH110" s="63"/>
      <c r="BI110" s="48">
        <f t="shared" si="133"/>
        <v>0</v>
      </c>
      <c r="BJ110" s="37"/>
      <c r="BK110" s="48">
        <f t="shared" si="134"/>
        <v>0</v>
      </c>
      <c r="BL110" s="37"/>
      <c r="BM110" s="48">
        <f t="shared" si="135"/>
        <v>0</v>
      </c>
      <c r="BN110" s="37"/>
      <c r="BO110" s="48">
        <f t="shared" si="136"/>
        <v>0</v>
      </c>
      <c r="BP110" s="39"/>
      <c r="BQ110" s="48"/>
      <c r="BR110" s="37"/>
      <c r="BS110" s="48">
        <f t="shared" si="137"/>
        <v>0</v>
      </c>
      <c r="BT110" s="37"/>
      <c r="BU110" s="48">
        <f t="shared" si="138"/>
        <v>0</v>
      </c>
      <c r="BV110" s="36"/>
      <c r="BW110" s="48">
        <f t="shared" si="139"/>
        <v>0</v>
      </c>
      <c r="BX110" s="37"/>
      <c r="BY110" s="48">
        <f t="shared" si="140"/>
        <v>0</v>
      </c>
      <c r="BZ110" s="37"/>
      <c r="CA110" s="48">
        <f t="shared" si="141"/>
        <v>0</v>
      </c>
      <c r="CB110" s="37"/>
      <c r="CC110" s="48">
        <f t="shared" si="142"/>
        <v>0</v>
      </c>
      <c r="CD110" s="37"/>
      <c r="CE110" s="48">
        <f t="shared" si="143"/>
        <v>0</v>
      </c>
      <c r="CF110" s="37"/>
      <c r="CG110" s="48">
        <f t="shared" si="144"/>
        <v>0</v>
      </c>
      <c r="CH110" s="37"/>
      <c r="CI110" s="48">
        <f t="shared" si="145"/>
        <v>0</v>
      </c>
      <c r="CJ110" s="36"/>
      <c r="CK110" s="36"/>
      <c r="CL110" s="36"/>
      <c r="CM110" s="36"/>
      <c r="CN110" s="41"/>
      <c r="CO110" s="41"/>
      <c r="CP110" s="42">
        <f t="shared" si="91"/>
        <v>3</v>
      </c>
      <c r="CQ110" s="42">
        <f t="shared" si="91"/>
        <v>462526.04080319998</v>
      </c>
    </row>
    <row r="111" spans="1:95" s="3" customFormat="1" ht="60" hidden="1" customHeight="1" x14ac:dyDescent="0.25">
      <c r="A111" s="54"/>
      <c r="B111" s="54">
        <v>83</v>
      </c>
      <c r="C111" s="55" t="s">
        <v>299</v>
      </c>
      <c r="D111" s="109" t="s">
        <v>300</v>
      </c>
      <c r="E111" s="110">
        <v>16026</v>
      </c>
      <c r="F111" s="110">
        <v>16828</v>
      </c>
      <c r="G111" s="73">
        <v>24.85</v>
      </c>
      <c r="H111" s="62">
        <v>8.2000000000000007E-3</v>
      </c>
      <c r="I111" s="35">
        <v>1</v>
      </c>
      <c r="J111" s="111"/>
      <c r="K111" s="35"/>
      <c r="L111" s="65">
        <v>1.4</v>
      </c>
      <c r="M111" s="65">
        <v>1.68</v>
      </c>
      <c r="N111" s="65">
        <v>2.23</v>
      </c>
      <c r="O111" s="65">
        <v>2.57</v>
      </c>
      <c r="P111" s="36">
        <v>2</v>
      </c>
      <c r="Q111" s="48">
        <f>(P111*$F111*$G111*((1-$H111)+$H111*$L111*$I111))</f>
        <v>839094.83324800001</v>
      </c>
      <c r="R111" s="37"/>
      <c r="S111" s="48">
        <f t="shared" si="125"/>
        <v>0</v>
      </c>
      <c r="T111" s="36"/>
      <c r="U111" s="48">
        <f t="shared" si="126"/>
        <v>0</v>
      </c>
      <c r="V111" s="36"/>
      <c r="W111" s="48">
        <f t="shared" si="127"/>
        <v>0</v>
      </c>
      <c r="X111" s="37"/>
      <c r="Y111" s="48">
        <f t="shared" si="128"/>
        <v>0</v>
      </c>
      <c r="Z111" s="37"/>
      <c r="AA111" s="48">
        <f t="shared" si="129"/>
        <v>0</v>
      </c>
      <c r="AB111" s="37"/>
      <c r="AC111" s="48"/>
      <c r="AD111" s="37"/>
      <c r="AE111" s="48">
        <f t="shared" si="130"/>
        <v>0</v>
      </c>
      <c r="AF111" s="37">
        <v>7</v>
      </c>
      <c r="AG111" s="48">
        <f t="shared" si="146"/>
        <v>2920171.8718172004</v>
      </c>
      <c r="AH111" s="37"/>
      <c r="AI111" s="48">
        <f t="shared" si="147"/>
        <v>0</v>
      </c>
      <c r="AJ111" s="48">
        <v>0</v>
      </c>
      <c r="AK111" s="48">
        <v>0</v>
      </c>
      <c r="AL111" s="37"/>
      <c r="AM111" s="48">
        <f t="shared" si="148"/>
        <v>0</v>
      </c>
      <c r="AN111" s="37"/>
      <c r="AO111" s="48">
        <f t="shared" si="149"/>
        <v>0</v>
      </c>
      <c r="AP111" s="37"/>
      <c r="AQ111" s="48"/>
      <c r="AR111" s="37"/>
      <c r="AS111" s="48"/>
      <c r="AT111" s="37"/>
      <c r="AU111" s="48"/>
      <c r="AV111" s="37"/>
      <c r="AW111" s="48"/>
      <c r="AX111" s="37"/>
      <c r="AY111" s="48"/>
      <c r="AZ111" s="37"/>
      <c r="BA111" s="48"/>
      <c r="BB111" s="37"/>
      <c r="BC111" s="48"/>
      <c r="BD111" s="37"/>
      <c r="BE111" s="48">
        <f t="shared" si="131"/>
        <v>0</v>
      </c>
      <c r="BF111" s="37"/>
      <c r="BG111" s="48">
        <f t="shared" si="132"/>
        <v>0</v>
      </c>
      <c r="BH111" s="63"/>
      <c r="BI111" s="48">
        <f t="shared" si="133"/>
        <v>0</v>
      </c>
      <c r="BJ111" s="37"/>
      <c r="BK111" s="48">
        <f t="shared" si="134"/>
        <v>0</v>
      </c>
      <c r="BL111" s="37"/>
      <c r="BM111" s="48">
        <f t="shared" si="135"/>
        <v>0</v>
      </c>
      <c r="BN111" s="37"/>
      <c r="BO111" s="48">
        <f t="shared" si="136"/>
        <v>0</v>
      </c>
      <c r="BP111" s="39"/>
      <c r="BQ111" s="48"/>
      <c r="BR111" s="37"/>
      <c r="BS111" s="48">
        <f t="shared" si="137"/>
        <v>0</v>
      </c>
      <c r="BT111" s="37"/>
      <c r="BU111" s="48">
        <f t="shared" si="138"/>
        <v>0</v>
      </c>
      <c r="BV111" s="36"/>
      <c r="BW111" s="48">
        <f t="shared" si="139"/>
        <v>0</v>
      </c>
      <c r="BX111" s="37"/>
      <c r="BY111" s="48">
        <f t="shared" si="140"/>
        <v>0</v>
      </c>
      <c r="BZ111" s="37"/>
      <c r="CA111" s="48">
        <f t="shared" si="141"/>
        <v>0</v>
      </c>
      <c r="CB111" s="37"/>
      <c r="CC111" s="48">
        <f t="shared" si="142"/>
        <v>0</v>
      </c>
      <c r="CD111" s="37"/>
      <c r="CE111" s="48">
        <f t="shared" si="143"/>
        <v>0</v>
      </c>
      <c r="CF111" s="37"/>
      <c r="CG111" s="48">
        <f t="shared" si="144"/>
        <v>0</v>
      </c>
      <c r="CH111" s="37"/>
      <c r="CI111" s="48">
        <f t="shared" si="145"/>
        <v>0</v>
      </c>
      <c r="CJ111" s="36"/>
      <c r="CK111" s="36"/>
      <c r="CL111" s="36"/>
      <c r="CM111" s="36"/>
      <c r="CN111" s="41"/>
      <c r="CO111" s="41"/>
      <c r="CP111" s="42">
        <f t="shared" si="91"/>
        <v>9</v>
      </c>
      <c r="CQ111" s="42">
        <f t="shared" si="91"/>
        <v>3759266.7050652006</v>
      </c>
    </row>
    <row r="112" spans="1:95" s="3" customFormat="1" ht="60" hidden="1" customHeight="1" x14ac:dyDescent="0.25">
      <c r="A112" s="54"/>
      <c r="B112" s="54">
        <v>84</v>
      </c>
      <c r="C112" s="55" t="s">
        <v>301</v>
      </c>
      <c r="D112" s="109" t="s">
        <v>302</v>
      </c>
      <c r="E112" s="110">
        <v>16026</v>
      </c>
      <c r="F112" s="110">
        <v>16828</v>
      </c>
      <c r="G112" s="73">
        <v>25.68</v>
      </c>
      <c r="H112" s="62">
        <v>2.5100000000000001E-2</v>
      </c>
      <c r="I112" s="35">
        <v>1</v>
      </c>
      <c r="J112" s="111"/>
      <c r="K112" s="35"/>
      <c r="L112" s="65">
        <v>1.4</v>
      </c>
      <c r="M112" s="65">
        <v>1.68</v>
      </c>
      <c r="N112" s="65">
        <v>2.23</v>
      </c>
      <c r="O112" s="65">
        <v>2.57</v>
      </c>
      <c r="P112" s="36">
        <v>20</v>
      </c>
      <c r="Q112" s="48">
        <f t="shared" si="124"/>
        <v>8660294.664384</v>
      </c>
      <c r="R112" s="37"/>
      <c r="S112" s="48">
        <f t="shared" si="125"/>
        <v>0</v>
      </c>
      <c r="T112" s="36"/>
      <c r="U112" s="48">
        <f t="shared" si="126"/>
        <v>0</v>
      </c>
      <c r="V112" s="36"/>
      <c r="W112" s="48">
        <f t="shared" si="127"/>
        <v>0</v>
      </c>
      <c r="X112" s="37"/>
      <c r="Y112" s="48">
        <f t="shared" si="128"/>
        <v>0</v>
      </c>
      <c r="Z112" s="37"/>
      <c r="AA112" s="48">
        <f t="shared" si="129"/>
        <v>0</v>
      </c>
      <c r="AB112" s="37"/>
      <c r="AC112" s="48"/>
      <c r="AD112" s="37"/>
      <c r="AE112" s="48">
        <f t="shared" si="130"/>
        <v>0</v>
      </c>
      <c r="AF112" s="37"/>
      <c r="AG112" s="48">
        <f t="shared" si="146"/>
        <v>0</v>
      </c>
      <c r="AH112" s="37"/>
      <c r="AI112" s="48">
        <f t="shared" si="147"/>
        <v>0</v>
      </c>
      <c r="AJ112" s="48">
        <v>0</v>
      </c>
      <c r="AK112" s="48">
        <v>0</v>
      </c>
      <c r="AL112" s="37"/>
      <c r="AM112" s="48">
        <f t="shared" si="148"/>
        <v>0</v>
      </c>
      <c r="AN112" s="37"/>
      <c r="AO112" s="48">
        <f t="shared" si="149"/>
        <v>0</v>
      </c>
      <c r="AP112" s="37"/>
      <c r="AQ112" s="48"/>
      <c r="AR112" s="37"/>
      <c r="AS112" s="48"/>
      <c r="AT112" s="37"/>
      <c r="AU112" s="48"/>
      <c r="AV112" s="37"/>
      <c r="AW112" s="48"/>
      <c r="AX112" s="37"/>
      <c r="AY112" s="48"/>
      <c r="AZ112" s="37"/>
      <c r="BA112" s="48"/>
      <c r="BB112" s="37"/>
      <c r="BC112" s="48"/>
      <c r="BD112" s="37"/>
      <c r="BE112" s="48">
        <f t="shared" si="131"/>
        <v>0</v>
      </c>
      <c r="BF112" s="37"/>
      <c r="BG112" s="48">
        <f t="shared" si="132"/>
        <v>0</v>
      </c>
      <c r="BH112" s="63"/>
      <c r="BI112" s="48">
        <f t="shared" si="133"/>
        <v>0</v>
      </c>
      <c r="BJ112" s="37"/>
      <c r="BK112" s="48">
        <f t="shared" si="134"/>
        <v>0</v>
      </c>
      <c r="BL112" s="37"/>
      <c r="BM112" s="48">
        <f t="shared" si="135"/>
        <v>0</v>
      </c>
      <c r="BN112" s="37"/>
      <c r="BO112" s="48">
        <f t="shared" si="136"/>
        <v>0</v>
      </c>
      <c r="BP112" s="39"/>
      <c r="BQ112" s="48"/>
      <c r="BR112" s="37"/>
      <c r="BS112" s="48">
        <f t="shared" si="137"/>
        <v>0</v>
      </c>
      <c r="BT112" s="37"/>
      <c r="BU112" s="48">
        <f t="shared" si="138"/>
        <v>0</v>
      </c>
      <c r="BV112" s="36"/>
      <c r="BW112" s="48">
        <f t="shared" si="139"/>
        <v>0</v>
      </c>
      <c r="BX112" s="37"/>
      <c r="BY112" s="48">
        <f t="shared" si="140"/>
        <v>0</v>
      </c>
      <c r="BZ112" s="37"/>
      <c r="CA112" s="48">
        <f t="shared" si="141"/>
        <v>0</v>
      </c>
      <c r="CB112" s="37"/>
      <c r="CC112" s="48">
        <f t="shared" si="142"/>
        <v>0</v>
      </c>
      <c r="CD112" s="37"/>
      <c r="CE112" s="48">
        <f t="shared" si="143"/>
        <v>0</v>
      </c>
      <c r="CF112" s="37"/>
      <c r="CG112" s="48">
        <f t="shared" si="144"/>
        <v>0</v>
      </c>
      <c r="CH112" s="37"/>
      <c r="CI112" s="48">
        <f t="shared" si="145"/>
        <v>0</v>
      </c>
      <c r="CJ112" s="36"/>
      <c r="CK112" s="36"/>
      <c r="CL112" s="36"/>
      <c r="CM112" s="36"/>
      <c r="CN112" s="41"/>
      <c r="CO112" s="41"/>
      <c r="CP112" s="42">
        <f t="shared" si="91"/>
        <v>20</v>
      </c>
      <c r="CQ112" s="42">
        <f t="shared" si="91"/>
        <v>8660294.664384</v>
      </c>
    </row>
    <row r="113" spans="1:95" s="3" customFormat="1" ht="60" hidden="1" customHeight="1" x14ac:dyDescent="0.25">
      <c r="A113" s="54"/>
      <c r="B113" s="54">
        <v>85</v>
      </c>
      <c r="C113" s="55" t="s">
        <v>303</v>
      </c>
      <c r="D113" s="109" t="s">
        <v>304</v>
      </c>
      <c r="E113" s="110">
        <v>16026</v>
      </c>
      <c r="F113" s="110">
        <v>16828</v>
      </c>
      <c r="G113" s="73">
        <v>27.45</v>
      </c>
      <c r="H113" s="62">
        <v>5.8099999999999999E-2</v>
      </c>
      <c r="I113" s="35">
        <v>1</v>
      </c>
      <c r="J113" s="111"/>
      <c r="K113" s="35"/>
      <c r="L113" s="65">
        <v>1.4</v>
      </c>
      <c r="M113" s="65">
        <v>1.68</v>
      </c>
      <c r="N113" s="65">
        <v>2.23</v>
      </c>
      <c r="O113" s="65">
        <v>2.57</v>
      </c>
      <c r="P113" s="36">
        <v>5</v>
      </c>
      <c r="Q113" s="48">
        <f t="shared" si="124"/>
        <v>2344546.9980899999</v>
      </c>
      <c r="R113" s="37"/>
      <c r="S113" s="48">
        <f t="shared" si="125"/>
        <v>0</v>
      </c>
      <c r="T113" s="36"/>
      <c r="U113" s="48">
        <f t="shared" si="126"/>
        <v>0</v>
      </c>
      <c r="V113" s="36"/>
      <c r="W113" s="48">
        <f t="shared" si="127"/>
        <v>0</v>
      </c>
      <c r="X113" s="37"/>
      <c r="Y113" s="48">
        <f t="shared" si="128"/>
        <v>0</v>
      </c>
      <c r="Z113" s="37"/>
      <c r="AA113" s="48">
        <f t="shared" si="129"/>
        <v>0</v>
      </c>
      <c r="AB113" s="37"/>
      <c r="AC113" s="48"/>
      <c r="AD113" s="37"/>
      <c r="AE113" s="48">
        <f t="shared" si="130"/>
        <v>0</v>
      </c>
      <c r="AF113" s="37"/>
      <c r="AG113" s="48">
        <f t="shared" si="146"/>
        <v>0</v>
      </c>
      <c r="AH113" s="37"/>
      <c r="AI113" s="48">
        <f t="shared" si="147"/>
        <v>0</v>
      </c>
      <c r="AJ113" s="48">
        <v>0</v>
      </c>
      <c r="AK113" s="48">
        <v>0</v>
      </c>
      <c r="AL113" s="37"/>
      <c r="AM113" s="48">
        <f t="shared" si="148"/>
        <v>0</v>
      </c>
      <c r="AN113" s="37"/>
      <c r="AO113" s="48">
        <f t="shared" si="149"/>
        <v>0</v>
      </c>
      <c r="AP113" s="37"/>
      <c r="AQ113" s="48"/>
      <c r="AR113" s="37"/>
      <c r="AS113" s="48"/>
      <c r="AT113" s="37"/>
      <c r="AU113" s="48"/>
      <c r="AV113" s="37"/>
      <c r="AW113" s="48"/>
      <c r="AX113" s="37"/>
      <c r="AY113" s="48"/>
      <c r="AZ113" s="37"/>
      <c r="BA113" s="48"/>
      <c r="BB113" s="37"/>
      <c r="BC113" s="48"/>
      <c r="BD113" s="37"/>
      <c r="BE113" s="48">
        <f t="shared" si="131"/>
        <v>0</v>
      </c>
      <c r="BF113" s="37"/>
      <c r="BG113" s="48">
        <f t="shared" si="132"/>
        <v>0</v>
      </c>
      <c r="BH113" s="63"/>
      <c r="BI113" s="48">
        <f t="shared" si="133"/>
        <v>0</v>
      </c>
      <c r="BJ113" s="37"/>
      <c r="BK113" s="48">
        <f t="shared" si="134"/>
        <v>0</v>
      </c>
      <c r="BL113" s="37"/>
      <c r="BM113" s="48">
        <f t="shared" si="135"/>
        <v>0</v>
      </c>
      <c r="BN113" s="37"/>
      <c r="BO113" s="48">
        <f t="shared" si="136"/>
        <v>0</v>
      </c>
      <c r="BP113" s="39"/>
      <c r="BQ113" s="48"/>
      <c r="BR113" s="37"/>
      <c r="BS113" s="48">
        <f t="shared" si="137"/>
        <v>0</v>
      </c>
      <c r="BT113" s="37"/>
      <c r="BU113" s="48">
        <f t="shared" si="138"/>
        <v>0</v>
      </c>
      <c r="BV113" s="36"/>
      <c r="BW113" s="48">
        <f t="shared" si="139"/>
        <v>0</v>
      </c>
      <c r="BX113" s="37"/>
      <c r="BY113" s="48">
        <f t="shared" si="140"/>
        <v>0</v>
      </c>
      <c r="BZ113" s="37"/>
      <c r="CA113" s="48">
        <f t="shared" si="141"/>
        <v>0</v>
      </c>
      <c r="CB113" s="37"/>
      <c r="CC113" s="48">
        <f t="shared" si="142"/>
        <v>0</v>
      </c>
      <c r="CD113" s="37"/>
      <c r="CE113" s="48">
        <f t="shared" si="143"/>
        <v>0</v>
      </c>
      <c r="CF113" s="37"/>
      <c r="CG113" s="48">
        <f t="shared" si="144"/>
        <v>0</v>
      </c>
      <c r="CH113" s="37"/>
      <c r="CI113" s="48">
        <f t="shared" si="145"/>
        <v>0</v>
      </c>
      <c r="CJ113" s="36"/>
      <c r="CK113" s="36"/>
      <c r="CL113" s="36"/>
      <c r="CM113" s="36"/>
      <c r="CN113" s="41"/>
      <c r="CO113" s="41"/>
      <c r="CP113" s="42">
        <f t="shared" si="91"/>
        <v>5</v>
      </c>
      <c r="CQ113" s="42">
        <f t="shared" si="91"/>
        <v>2344546.9980899999</v>
      </c>
    </row>
    <row r="114" spans="1:95" s="3" customFormat="1" ht="60" hidden="1" customHeight="1" x14ac:dyDescent="0.25">
      <c r="A114" s="54"/>
      <c r="B114" s="54">
        <v>86</v>
      </c>
      <c r="C114" s="55" t="s">
        <v>305</v>
      </c>
      <c r="D114" s="109" t="s">
        <v>306</v>
      </c>
      <c r="E114" s="110">
        <v>16026</v>
      </c>
      <c r="F114" s="110">
        <v>16828</v>
      </c>
      <c r="G114" s="73">
        <v>29.48</v>
      </c>
      <c r="H114" s="62">
        <v>9.0899999999999995E-2</v>
      </c>
      <c r="I114" s="35">
        <v>1</v>
      </c>
      <c r="J114" s="111"/>
      <c r="K114" s="35"/>
      <c r="L114" s="65">
        <v>1.4</v>
      </c>
      <c r="M114" s="65">
        <v>1.68</v>
      </c>
      <c r="N114" s="65">
        <v>2.23</v>
      </c>
      <c r="O114" s="65">
        <v>2.57</v>
      </c>
      <c r="P114" s="36">
        <v>1</v>
      </c>
      <c r="Q114" s="48">
        <f t="shared" si="124"/>
        <v>510043.48236746661</v>
      </c>
      <c r="R114" s="37">
        <v>0</v>
      </c>
      <c r="S114" s="48">
        <f t="shared" si="125"/>
        <v>0</v>
      </c>
      <c r="T114" s="36"/>
      <c r="U114" s="48">
        <f t="shared" si="126"/>
        <v>0</v>
      </c>
      <c r="V114" s="36">
        <v>0</v>
      </c>
      <c r="W114" s="48">
        <f t="shared" si="127"/>
        <v>0</v>
      </c>
      <c r="X114" s="37">
        <v>0</v>
      </c>
      <c r="Y114" s="48">
        <f t="shared" si="128"/>
        <v>0</v>
      </c>
      <c r="Z114" s="37"/>
      <c r="AA114" s="48">
        <f t="shared" si="129"/>
        <v>0</v>
      </c>
      <c r="AB114" s="37">
        <v>0</v>
      </c>
      <c r="AC114" s="48"/>
      <c r="AD114" s="37">
        <v>0</v>
      </c>
      <c r="AE114" s="48">
        <f t="shared" si="130"/>
        <v>0</v>
      </c>
      <c r="AF114" s="37">
        <v>0</v>
      </c>
      <c r="AG114" s="48">
        <f t="shared" si="146"/>
        <v>0</v>
      </c>
      <c r="AH114" s="37">
        <v>0</v>
      </c>
      <c r="AI114" s="48">
        <f t="shared" si="147"/>
        <v>0</v>
      </c>
      <c r="AJ114" s="48">
        <v>0</v>
      </c>
      <c r="AK114" s="48">
        <v>0</v>
      </c>
      <c r="AL114" s="37"/>
      <c r="AM114" s="48">
        <f t="shared" si="148"/>
        <v>0</v>
      </c>
      <c r="AN114" s="37">
        <v>0</v>
      </c>
      <c r="AO114" s="48">
        <f t="shared" si="149"/>
        <v>0</v>
      </c>
      <c r="AP114" s="37"/>
      <c r="AQ114" s="48"/>
      <c r="AR114" s="37"/>
      <c r="AS114" s="48"/>
      <c r="AT114" s="37"/>
      <c r="AU114" s="48"/>
      <c r="AV114" s="37">
        <v>0</v>
      </c>
      <c r="AW114" s="48"/>
      <c r="AX114" s="37">
        <v>0</v>
      </c>
      <c r="AY114" s="48"/>
      <c r="AZ114" s="37">
        <v>0</v>
      </c>
      <c r="BA114" s="48"/>
      <c r="BB114" s="37"/>
      <c r="BC114" s="48"/>
      <c r="BD114" s="37"/>
      <c r="BE114" s="48">
        <f t="shared" si="131"/>
        <v>0</v>
      </c>
      <c r="BF114" s="37"/>
      <c r="BG114" s="48">
        <f t="shared" si="132"/>
        <v>0</v>
      </c>
      <c r="BH114" s="63">
        <v>0</v>
      </c>
      <c r="BI114" s="48">
        <f t="shared" si="133"/>
        <v>0</v>
      </c>
      <c r="BJ114" s="37">
        <v>0</v>
      </c>
      <c r="BK114" s="48">
        <f t="shared" si="134"/>
        <v>0</v>
      </c>
      <c r="BL114" s="37">
        <v>0</v>
      </c>
      <c r="BM114" s="48">
        <f t="shared" si="135"/>
        <v>0</v>
      </c>
      <c r="BN114" s="37">
        <v>0</v>
      </c>
      <c r="BO114" s="48">
        <f t="shared" si="136"/>
        <v>0</v>
      </c>
      <c r="BP114" s="39"/>
      <c r="BQ114" s="48"/>
      <c r="BR114" s="37">
        <v>0</v>
      </c>
      <c r="BS114" s="48">
        <f t="shared" si="137"/>
        <v>0</v>
      </c>
      <c r="BT114" s="37">
        <v>0</v>
      </c>
      <c r="BU114" s="48">
        <f t="shared" si="138"/>
        <v>0</v>
      </c>
      <c r="BV114" s="36">
        <v>0</v>
      </c>
      <c r="BW114" s="48">
        <f t="shared" si="139"/>
        <v>0</v>
      </c>
      <c r="BX114" s="37">
        <v>0</v>
      </c>
      <c r="BY114" s="48">
        <f t="shared" si="140"/>
        <v>0</v>
      </c>
      <c r="BZ114" s="37"/>
      <c r="CA114" s="48">
        <f t="shared" si="141"/>
        <v>0</v>
      </c>
      <c r="CB114" s="37"/>
      <c r="CC114" s="48">
        <f t="shared" si="142"/>
        <v>0</v>
      </c>
      <c r="CD114" s="37">
        <v>0</v>
      </c>
      <c r="CE114" s="48">
        <f t="shared" si="143"/>
        <v>0</v>
      </c>
      <c r="CF114" s="37">
        <v>0</v>
      </c>
      <c r="CG114" s="48">
        <f t="shared" si="144"/>
        <v>0</v>
      </c>
      <c r="CH114" s="37">
        <v>0</v>
      </c>
      <c r="CI114" s="48">
        <f t="shared" si="145"/>
        <v>0</v>
      </c>
      <c r="CJ114" s="36"/>
      <c r="CK114" s="36"/>
      <c r="CL114" s="36"/>
      <c r="CM114" s="36"/>
      <c r="CN114" s="41"/>
      <c r="CO114" s="41"/>
      <c r="CP114" s="42">
        <f t="shared" si="91"/>
        <v>1</v>
      </c>
      <c r="CQ114" s="42">
        <f t="shared" si="91"/>
        <v>510043.48236746661</v>
      </c>
    </row>
    <row r="115" spans="1:95" s="3" customFormat="1" ht="18.75" hidden="1" customHeight="1" x14ac:dyDescent="0.25">
      <c r="A115" s="54"/>
      <c r="B115" s="54">
        <v>87</v>
      </c>
      <c r="C115" s="55" t="s">
        <v>307</v>
      </c>
      <c r="D115" s="109" t="s">
        <v>308</v>
      </c>
      <c r="E115" s="110">
        <v>16026</v>
      </c>
      <c r="F115" s="110">
        <v>16828</v>
      </c>
      <c r="G115" s="33">
        <v>2.62</v>
      </c>
      <c r="H115" s="34"/>
      <c r="I115" s="35">
        <v>1</v>
      </c>
      <c r="J115" s="111"/>
      <c r="K115" s="35"/>
      <c r="L115" s="65">
        <v>1.4</v>
      </c>
      <c r="M115" s="65">
        <v>1.68</v>
      </c>
      <c r="N115" s="65">
        <v>2.23</v>
      </c>
      <c r="O115" s="65">
        <v>2.57</v>
      </c>
      <c r="P115" s="36"/>
      <c r="Q115" s="36">
        <f>SUM(P115/12*2*$E115*$G115*$I115*$L115*$Q$9)+(P115/12*10*$F115*$G115*$I115*$L115*$Q$9)</f>
        <v>0</v>
      </c>
      <c r="R115" s="37"/>
      <c r="S115" s="36">
        <f>SUM(R115/12*2*$E115*$G115*$I115*$L115*S$9)+(R115/12*10*$F115*$G115*$I115*$L115*S$9)</f>
        <v>0</v>
      </c>
      <c r="T115" s="36"/>
      <c r="U115" s="36">
        <f>SUM(T115/12*2*$E115*$G115*$I115*$L115*U$9)+(T115/12*10*$F115*$G115*$I115*$L115*U$9)</f>
        <v>0</v>
      </c>
      <c r="V115" s="36">
        <v>0</v>
      </c>
      <c r="W115" s="36">
        <f>SUM(V115/12*2*$E115*$G115*$I115*$L115*$W$9)+(V115/12*10*$F115*$G115*$I115*$L115*$W$9)</f>
        <v>0</v>
      </c>
      <c r="X115" s="37"/>
      <c r="Y115" s="38">
        <f>SUM(X115/12*2*$E115*$G115*$I115*$L115*Y$9)+(X115/12*10*$F115*$G115*$I115*$L115*Y$9)</f>
        <v>0</v>
      </c>
      <c r="Z115" s="37"/>
      <c r="AA115" s="36"/>
      <c r="AB115" s="37"/>
      <c r="AC115" s="36">
        <f>(AB115/12*2*$E115*$G115*$I115*$L115)+(AB115/12*10*$F115*$G115*$I115*$L115)</f>
        <v>0</v>
      </c>
      <c r="AD115" s="37">
        <v>0</v>
      </c>
      <c r="AE115" s="36">
        <f>(AD115/12*2*$E115*$G115*$I115*$L115*AE$9)+(AD115/12*10*$F115*$G115*$I115*$L115*AE$9)</f>
        <v>0</v>
      </c>
      <c r="AF115" s="36">
        <v>0</v>
      </c>
      <c r="AG115" s="36">
        <f>(AF115/12*2*$E115*$G115*$I115*$M115*AG$9)+(AF115/12*10*$F115*$G115*$I115*$M115*AG$9)</f>
        <v>0</v>
      </c>
      <c r="AH115" s="37"/>
      <c r="AI115" s="36">
        <f>(AH115/12*2*$E115*$G115*$I115*$M115*$AI$9)+(AH115/12*10*$F115*$G115*$I115*$M115*$AI$9)</f>
        <v>0</v>
      </c>
      <c r="AJ115" s="36">
        <v>0</v>
      </c>
      <c r="AK115" s="36">
        <v>0</v>
      </c>
      <c r="AL115" s="37"/>
      <c r="AM115" s="36">
        <f>SUM(AL115/12*2*$E115*$G115*$I115*$L115*AM$9)+(AL115/12*10*$F115*$G115*$I115*$L115*AM$9)</f>
        <v>0</v>
      </c>
      <c r="AN115" s="37"/>
      <c r="AO115" s="36">
        <f>SUM(AN115/12*2*$E115*$G115*$I115*$L115*$AE$9)+(AN115/12*10*$F115*$G115*$I115*$L115*$AE$9)</f>
        <v>0</v>
      </c>
      <c r="AP115" s="37"/>
      <c r="AQ115" s="36"/>
      <c r="AR115" s="37"/>
      <c r="AS115" s="36">
        <f>SUM(AR115/12*2*$E115*$G115*$I115*$L115*AS$9)+(AR115/12*10*$F115*$G115*$I115*$L115*AS$9)</f>
        <v>0</v>
      </c>
      <c r="AT115" s="37"/>
      <c r="AU115" s="36">
        <f>SUM(AT115/12*2*$E115*$G115*$I115*$L115*$AI$9)+(AT115/12*10*$F115*$G115*$I115*$L115*$AI$9)</f>
        <v>0</v>
      </c>
      <c r="AV115" s="37"/>
      <c r="AW115" s="36">
        <f>SUM(AV115/12*2*$E115*$G115*$I115*$L115*AW$9)+(AV115/12*10*$F115*$G115*$I115*$L115*AW$9)</f>
        <v>0</v>
      </c>
      <c r="AX115" s="37"/>
      <c r="AY115" s="36">
        <f>SUM(AX115/12*2*$E115*$G115*$I115*$L115*AY$9)+(AX115/12*10*$F115*$G115*$I115*$L115*AY$9)</f>
        <v>0</v>
      </c>
      <c r="AZ115" s="37"/>
      <c r="BA115" s="36">
        <f>SUM(AZ115/12*2*$E115*$G115*$I115*$L115*BA$9)+(AZ115/12*10*$F115*$G115*$I115*$L115*BA$9)</f>
        <v>0</v>
      </c>
      <c r="BB115" s="37"/>
      <c r="BC115" s="36">
        <f>SUM(BB115/12*2*$E115*$G115*$I115*$L115*BC$9)+(BB115/12*10*$F115*$G115*$I115*$L115*BC$9)</f>
        <v>0</v>
      </c>
      <c r="BD115" s="37"/>
      <c r="BE115" s="36">
        <f>SUM(BD115/12*2*$E115*$G115*$I115*$L115*BE$9)+(BD115/12*10*$F115*$G115*$I115*$L115*BE$9)</f>
        <v>0</v>
      </c>
      <c r="BF115" s="37"/>
      <c r="BG115" s="39">
        <f>(BF115/12*2*$E115*$G115*$I115*$M115*BG$9)+(BF115/12*10*$F115*$G115*$I115*$M115*BG$9)</f>
        <v>0</v>
      </c>
      <c r="BH115" s="60"/>
      <c r="BI115" s="36">
        <f>(BH115/12*2*$E115*$G115*$I115*$M115*BI$9)+(BH115/12*10*$F115*$G115*$I115*$M115*BI$9)</f>
        <v>0</v>
      </c>
      <c r="BJ115" s="37"/>
      <c r="BK115" s="36">
        <f>(BJ115/12*2*$E115*$G115*$I115*$M115*BK$9)+(BJ115/12*10*$F115*$G115*$I115*$M115*BK$9)</f>
        <v>0</v>
      </c>
      <c r="BL115" s="37"/>
      <c r="BM115" s="36">
        <f>(BL115/12*2*$E115*$G115*$I115*$M115*BM$9)+(BL115/12*10*$F115*$G115*$I115*$M115*BM$9)</f>
        <v>0</v>
      </c>
      <c r="BN115" s="37"/>
      <c r="BO115" s="36">
        <f>(BN115/12*10*$F115*$G115*$I115*$M115*BO$9)</f>
        <v>0</v>
      </c>
      <c r="BP115" s="39"/>
      <c r="BQ115" s="36"/>
      <c r="BR115" s="37"/>
      <c r="BS115" s="36">
        <f>(BR115/12*10*$F115*$G115*$I115*$M115*BS$9)</f>
        <v>0</v>
      </c>
      <c r="BT115" s="37"/>
      <c r="BU115" s="36">
        <f>(BT115/12*2*$E115*$G115*$I115*$M115*BU$9)+(BT115/12*10*$F115*$G115*$I115*$M115*BU$9)</f>
        <v>0</v>
      </c>
      <c r="BV115" s="36"/>
      <c r="BW115" s="36">
        <f>(BV115/12*2*$E115*$G115*$I115*$M115*BW$9)+(BV115/12*10*$F115*$G115*$I115*$M115*BW$9)</f>
        <v>0</v>
      </c>
      <c r="BX115" s="37"/>
      <c r="BY115" s="36">
        <f>(BX115/12*2*$E115*$G115*$I115*$M115*BY$9)+(BX115/12*10*$F115*$G115*$I115*$M115*BY$9)</f>
        <v>0</v>
      </c>
      <c r="BZ115" s="37"/>
      <c r="CA115" s="36">
        <f>(BZ115/12*2*$E115*$G115*$I115*$M115*CA$9)+(BZ115/12*10*$F115*$G115*$I115*$M115*CA$9)</f>
        <v>0</v>
      </c>
      <c r="CB115" s="37"/>
      <c r="CC115" s="36">
        <f>(CB115/12*2*$E115*$G115*$I115*$M115*CC$9)+(CB115/12*10*$F115*$G115*$I115*$M115*CC$9)</f>
        <v>0</v>
      </c>
      <c r="CD115" s="37"/>
      <c r="CE115" s="36">
        <f>(CD115/12*2*$E115*$G115*$I115*$M115*CE$9)+(CD115/12*10*$F115*$G115*$I115*$M115*CE$9)</f>
        <v>0</v>
      </c>
      <c r="CF115" s="37"/>
      <c r="CG115" s="36">
        <f>(CF115/12*2*$E115*$G115*$I115*$N115*CG$9)+(CF115/12*10*$F115*$G115*$I115*$N115*CG$9)</f>
        <v>0</v>
      </c>
      <c r="CH115" s="37"/>
      <c r="CI115" s="36">
        <f>(CH115/12*2*$E115*$G115*$I115*$O115*$CI$9)+(CH115/12*10*$F115*$G115*$I115*$O115*$CI$9)</f>
        <v>0</v>
      </c>
      <c r="CJ115" s="36"/>
      <c r="CK115" s="36"/>
      <c r="CL115" s="36"/>
      <c r="CM115" s="36"/>
      <c r="CN115" s="41"/>
      <c r="CO115" s="41"/>
      <c r="CP115" s="42">
        <f t="shared" si="91"/>
        <v>0</v>
      </c>
      <c r="CQ115" s="42">
        <f t="shared" si="91"/>
        <v>0</v>
      </c>
    </row>
    <row r="116" spans="1:95" s="3" customFormat="1" ht="45" hidden="1" x14ac:dyDescent="0.25">
      <c r="A116" s="54"/>
      <c r="B116" s="54">
        <v>88</v>
      </c>
      <c r="C116" s="73" t="s">
        <v>309</v>
      </c>
      <c r="D116" s="70" t="s">
        <v>310</v>
      </c>
      <c r="E116" s="110">
        <v>16026</v>
      </c>
      <c r="F116" s="110">
        <v>16828</v>
      </c>
      <c r="G116" s="73">
        <v>0.34</v>
      </c>
      <c r="H116" s="62">
        <v>0.30020000000000002</v>
      </c>
      <c r="I116" s="35">
        <v>1</v>
      </c>
      <c r="J116" s="111"/>
      <c r="K116" s="35"/>
      <c r="L116" s="97">
        <v>1.4</v>
      </c>
      <c r="M116" s="97">
        <v>1.68</v>
      </c>
      <c r="N116" s="97">
        <v>2.23</v>
      </c>
      <c r="O116" s="97">
        <v>2.57</v>
      </c>
      <c r="P116" s="36"/>
      <c r="Q116" s="48">
        <f t="shared" ref="Q116:Q170" si="150">(P116/12*2*$E116*$G116*((1-$H116)+$H116*$L116*$I116))+(P116/12*10*$F116*$G116*((1-$H116)+$H116*$L116*$I116))</f>
        <v>0</v>
      </c>
      <c r="R116" s="37"/>
      <c r="S116" s="48">
        <f t="shared" ref="S116:S170" si="151">(R116/12*2*$E116*$G116*((1-$H116)+$H116*$L116*$I116))+(R116/12*10*$F116*$G116*((1-$H116)+$H116*$L116*$I116))</f>
        <v>0</v>
      </c>
      <c r="T116" s="36"/>
      <c r="U116" s="48">
        <f t="shared" ref="U116:U170" si="152">(T116/12*2*$E116*$G116*((1-$H116)+$H116*$L116*$I116))+(T116/12*10*$F116*$G116*((1-$H116)+$H116*$L116*$I116))</f>
        <v>0</v>
      </c>
      <c r="V116" s="36">
        <f>35+14</f>
        <v>49</v>
      </c>
      <c r="W116" s="48">
        <f t="shared" ref="W116:W170" si="153">(V116/12*2*$E116*$G116*((1-$H116)+$H116*$L116*$I116))+(V116/12*10*$F116*$G116*((1-$H116)+$H116*$L116*$I116))</f>
        <v>311525.15474079998</v>
      </c>
      <c r="X116" s="37"/>
      <c r="Y116" s="48">
        <f t="shared" ref="Y116:Y170" si="154">(X116/12*2*$E116*$G116*((1-$H116)+$H116*$L116*$I116))+(X116/12*10*$F116*$G116*((1-$H116)+$H116*$L116*$I116))</f>
        <v>0</v>
      </c>
      <c r="Z116" s="37"/>
      <c r="AA116" s="48">
        <f t="shared" ref="AA116:AA170" si="155">(Z116/12*2*$E116*$G116*((1-$H116)+$H116*$L116*$I116))+(Z116/12*10*$F116*$G116*((1-$H116)+$H116*$L116*$I116))</f>
        <v>0</v>
      </c>
      <c r="AB116" s="37"/>
      <c r="AC116" s="48"/>
      <c r="AD116" s="37">
        <v>0</v>
      </c>
      <c r="AE116" s="48">
        <f t="shared" ref="AE116:AE170" si="156">(AD116/12*2*$E116*$G116*((1-$H116)+$H116*$L116*$I116))+(AD116/12*10*$F116*$G116*((1-$H116)+$H116*$L116*$I116))</f>
        <v>0</v>
      </c>
      <c r="AF116" s="36">
        <f>3+8</f>
        <v>11</v>
      </c>
      <c r="AG116" s="48">
        <f t="shared" ref="AG116:AG170" si="157">(AF116/12*2*$E116*$G116*((1-$H116)+$H116*$M116*$I116))+(AF116/12*10*$F116*$G116*((1-$H116)+$H116*$M116*$I116))</f>
        <v>75182.406632373342</v>
      </c>
      <c r="AH116" s="37"/>
      <c r="AI116" s="48">
        <f t="shared" ref="AI116:AI170" si="158">(AH116/12*2*$E116*$G116*((1-$H116)+$H116*$M116*$I116))+(AH116/12*10*$F116*$G116*((1-$H116)+$H116*$M116*$I116))</f>
        <v>0</v>
      </c>
      <c r="AJ116" s="48">
        <v>0</v>
      </c>
      <c r="AK116" s="48">
        <v>0</v>
      </c>
      <c r="AL116" s="37"/>
      <c r="AM116" s="48">
        <f t="shared" ref="AM116:AM170" si="159">(AL116/12*2*$E116*$G116*((1-$H116)+$H116*$L116*$I116))+(AL116/12*10*$F116*$G116*((1-$H116)+$H116*$L116*$I116))</f>
        <v>0</v>
      </c>
      <c r="AN116" s="37"/>
      <c r="AO116" s="48">
        <f t="shared" ref="AO116:AO170" si="160">(AN116/12*2*$E116*$G116*((1-$H116)+$H116*$L116*$I116))+(AN116/12*10*$F116*$G116*((1-$H116)+$H116*$L116*$I116))</f>
        <v>0</v>
      </c>
      <c r="AP116" s="37"/>
      <c r="AQ116" s="48"/>
      <c r="AR116" s="37"/>
      <c r="AS116" s="48"/>
      <c r="AT116" s="37"/>
      <c r="AU116" s="48"/>
      <c r="AV116" s="37"/>
      <c r="AW116" s="48"/>
      <c r="AX116" s="37"/>
      <c r="AY116" s="48"/>
      <c r="AZ116" s="37"/>
      <c r="BA116" s="48"/>
      <c r="BB116" s="36"/>
      <c r="BC116" s="48"/>
      <c r="BD116" s="37"/>
      <c r="BE116" s="48">
        <f t="shared" ref="BE116:BE170" si="161">(BD116/12*2*$E116*$G116*((1-$H116)+$H116*$L116*$I116*BE$9))+(BD116/12*10*$F116*$G116*((1-$H116)+$H116*$L116*$I116*BE$9))</f>
        <v>0</v>
      </c>
      <c r="BF116" s="37"/>
      <c r="BG116" s="48">
        <f t="shared" ref="BG116:BG170" si="162">(BF116/12*2*$E116*$G116*((1-$H116)+$H116*$M116*$I116*BG$9))+(BF116/12*10*$F116*$G116*((1-$H116)+$H116*$M116*$I116*BG$9))</f>
        <v>0</v>
      </c>
      <c r="BH116" s="63"/>
      <c r="BI116" s="48">
        <f t="shared" ref="BI116:BI170" si="163">(BH116/12*2*$E116*$G116*((1-$H116)+$H116*$M116*$I116*BI$9))+(BH116/12*10*$F116*$G116*((1-$H116)+$H116*$M116*$I116*BI$9))</f>
        <v>0</v>
      </c>
      <c r="BJ116" s="37"/>
      <c r="BK116" s="48">
        <f t="shared" ref="BK116:BK170" si="164">(BJ116/12*2*$E116*$G116*((1-$H116)+$H116*$M116*$I116*BK$9))+(BJ116/12*10*$F116*$G116*((1-$H116)+$H116*$M116*$I116*BK$9))</f>
        <v>0</v>
      </c>
      <c r="BL116" s="37"/>
      <c r="BM116" s="48">
        <f t="shared" ref="BM116:BM170" si="165">(BL116/12*2*$E116*$G116*((1-$H116)+$H116*$M116*$I116*BM$9))+(BL116/12*10*$F116*$G116*((1-$H116)+$H116*$M116*$I116*BM$9))</f>
        <v>0</v>
      </c>
      <c r="BN116" s="36">
        <v>12</v>
      </c>
      <c r="BO116" s="48">
        <f t="shared" ref="BO116:BO170" si="166">(BN116/12*10*$F116*$G116*((1-$H116)+$H116*$M116*$I116*BO$9))</f>
        <v>68894.882067200015</v>
      </c>
      <c r="BP116" s="39"/>
      <c r="BQ116" s="48"/>
      <c r="BR116" s="37"/>
      <c r="BS116" s="48">
        <f t="shared" ref="BS116:BS170" si="167">(BR116/12*10*$F116*$G116*((1-$H116)+$H116*$M116*$I116*BS$9))</f>
        <v>0</v>
      </c>
      <c r="BT116" s="37"/>
      <c r="BU116" s="48">
        <f t="shared" ref="BU116:BU170" si="168">(BT116/12*2*$E116*$G116*((1-$H116)+$H116*$M116*$I116*BU$9))+(BT116/12*10*$F116*$G116*((1-$H116)+$H116*$M116*$I116*BU$9))</f>
        <v>0</v>
      </c>
      <c r="BV116" s="36"/>
      <c r="BW116" s="48">
        <f t="shared" ref="BW116:BW170" si="169">(BV116/12*2*$E116*$G116*((1-$H116)+$H116*$M116*$I116*BW$9))+(BV116/12*10*$F116*$G116*((1-$H116)+$H116*$M116*$I116*BW$9))</f>
        <v>0</v>
      </c>
      <c r="BX116" s="37"/>
      <c r="BY116" s="48">
        <f t="shared" ref="BY116:BY170" si="170">(BX116/12*2*$E116*$G116*((1-$H116)+$H116*$M116*$I116*BY$9))+(BX116/12*10*$F116*$G116*((1-$H116)+$H116*$M116*$I116*BY$9))</f>
        <v>0</v>
      </c>
      <c r="BZ116" s="37"/>
      <c r="CA116" s="48">
        <f t="shared" ref="CA116:CA170" si="171">(BZ116/12*2*$E116*$G116*((1-$H116)+$H116*$M116*$I116*CA$9))+(BZ116/12*10*$F116*$G116*((1-$H116)+$H116*$M116*$I116*CA$9))</f>
        <v>0</v>
      </c>
      <c r="CB116" s="37"/>
      <c r="CC116" s="48">
        <f t="shared" ref="CC116:CC170" si="172">(CB116/12*2*$E116*$G116*((1-$H116)+$H116*$M116*$I116*CC$9))+(CB116/12*10*$F116*$G116*((1-$H116)+$H116*$M116*$I116*CC$9))</f>
        <v>0</v>
      </c>
      <c r="CD116" s="37"/>
      <c r="CE116" s="48">
        <f t="shared" ref="CE116:CE170" si="173">(CD116/12*2*$E116*$G116*((1-$H116)+$H116*$M116*$I116*CE$9))+(CD116/12*10*$F116*$G116*((1-$H116)+$H116*$M116*$I116*CE$9))</f>
        <v>0</v>
      </c>
      <c r="CF116" s="37"/>
      <c r="CG116" s="48">
        <f t="shared" ref="CG116:CG170" si="174">(CF116/12*2*$E116*$G116*((1-$H116)+$H116*$N116*$I116*CG$9))+(CF116/12*10*$F116*$G116*((1-$H116)+$H116*$N116*$I116*CG$9))</f>
        <v>0</v>
      </c>
      <c r="CH116" s="37"/>
      <c r="CI116" s="48">
        <f t="shared" ref="CI116:CI170" si="175">(CH116/12*2*$E116*$G116*((1-$H116)+$H116*$O116*$I116))+(CH116/12*10*$F116*$G116*((1-$H116)+$H116*$O116*$I116))</f>
        <v>0</v>
      </c>
      <c r="CJ116" s="36"/>
      <c r="CK116" s="36"/>
      <c r="CL116" s="36"/>
      <c r="CM116" s="36"/>
      <c r="CN116" s="41"/>
      <c r="CO116" s="41"/>
      <c r="CP116" s="42">
        <f t="shared" si="91"/>
        <v>72</v>
      </c>
      <c r="CQ116" s="42">
        <f t="shared" si="91"/>
        <v>455602.44344037335</v>
      </c>
    </row>
    <row r="117" spans="1:95" s="3" customFormat="1" ht="18.75" hidden="1" x14ac:dyDescent="0.25">
      <c r="A117" s="54"/>
      <c r="B117" s="98" t="s">
        <v>311</v>
      </c>
      <c r="C117" s="73" t="s">
        <v>312</v>
      </c>
      <c r="D117" s="99" t="s">
        <v>313</v>
      </c>
      <c r="E117" s="110"/>
      <c r="F117" s="122">
        <v>16828</v>
      </c>
      <c r="G117" s="73">
        <v>0.21</v>
      </c>
      <c r="H117" s="74">
        <v>0.30020000000000002</v>
      </c>
      <c r="I117" s="35">
        <v>1</v>
      </c>
      <c r="J117" s="111"/>
      <c r="K117" s="65"/>
      <c r="L117" s="65">
        <v>1.4</v>
      </c>
      <c r="M117" s="65">
        <v>1.68</v>
      </c>
      <c r="N117" s="97">
        <v>2.23</v>
      </c>
      <c r="O117" s="97">
        <v>2.57</v>
      </c>
      <c r="P117" s="36"/>
      <c r="Q117" s="48"/>
      <c r="R117" s="37"/>
      <c r="S117" s="48"/>
      <c r="T117" s="36"/>
      <c r="U117" s="48"/>
      <c r="V117" s="36">
        <f>21+11</f>
        <v>32</v>
      </c>
      <c r="W117" s="48">
        <f>(V117*$F117*$G117*((1-$H117)+$H117*$L117*$I117))</f>
        <v>126663.30593279998</v>
      </c>
      <c r="X117" s="37"/>
      <c r="Y117" s="48"/>
      <c r="Z117" s="37"/>
      <c r="AA117" s="48"/>
      <c r="AB117" s="37"/>
      <c r="AC117" s="48"/>
      <c r="AD117" s="37"/>
      <c r="AE117" s="48"/>
      <c r="AF117" s="36">
        <f>6+1</f>
        <v>7</v>
      </c>
      <c r="AG117" s="48">
        <f>(AF117*$F117*$G117*((1-$H117)+$H117*$M117*$I117))</f>
        <v>29786.904893760002</v>
      </c>
      <c r="AH117" s="37"/>
      <c r="AI117" s="48"/>
      <c r="AJ117" s="48">
        <v>0</v>
      </c>
      <c r="AK117" s="48">
        <v>0</v>
      </c>
      <c r="AL117" s="37"/>
      <c r="AM117" s="48"/>
      <c r="AN117" s="37"/>
      <c r="AO117" s="48"/>
      <c r="AP117" s="37"/>
      <c r="AQ117" s="48"/>
      <c r="AR117" s="37"/>
      <c r="AS117" s="48"/>
      <c r="AT117" s="37"/>
      <c r="AU117" s="48"/>
      <c r="AV117" s="37"/>
      <c r="AW117" s="48"/>
      <c r="AX117" s="37"/>
      <c r="AY117" s="48"/>
      <c r="AZ117" s="37"/>
      <c r="BA117" s="48"/>
      <c r="BB117" s="36"/>
      <c r="BC117" s="48"/>
      <c r="BD117" s="37"/>
      <c r="BE117" s="48"/>
      <c r="BF117" s="37"/>
      <c r="BG117" s="48"/>
      <c r="BH117" s="63"/>
      <c r="BI117" s="48"/>
      <c r="BJ117" s="37"/>
      <c r="BK117" s="48"/>
      <c r="BL117" s="37"/>
      <c r="BM117" s="48"/>
      <c r="BN117" s="36"/>
      <c r="BO117" s="48"/>
      <c r="BP117" s="39"/>
      <c r="BQ117" s="48"/>
      <c r="BR117" s="37"/>
      <c r="BS117" s="48"/>
      <c r="BT117" s="37"/>
      <c r="BU117" s="48"/>
      <c r="BV117" s="36"/>
      <c r="BW117" s="48"/>
      <c r="BX117" s="37"/>
      <c r="BY117" s="48"/>
      <c r="BZ117" s="37"/>
      <c r="CA117" s="48"/>
      <c r="CB117" s="37"/>
      <c r="CC117" s="48"/>
      <c r="CD117" s="37"/>
      <c r="CE117" s="48"/>
      <c r="CF117" s="37"/>
      <c r="CG117" s="48"/>
      <c r="CH117" s="37"/>
      <c r="CI117" s="48"/>
      <c r="CJ117" s="36"/>
      <c r="CK117" s="36"/>
      <c r="CL117" s="36"/>
      <c r="CM117" s="36"/>
      <c r="CN117" s="41"/>
      <c r="CO117" s="41"/>
      <c r="CP117" s="42">
        <f t="shared" si="91"/>
        <v>39</v>
      </c>
      <c r="CQ117" s="42">
        <f t="shared" si="91"/>
        <v>156450.21082655998</v>
      </c>
    </row>
    <row r="118" spans="1:95" s="3" customFormat="1" ht="18.75" hidden="1" x14ac:dyDescent="0.25">
      <c r="A118" s="54"/>
      <c r="B118" s="98" t="s">
        <v>314</v>
      </c>
      <c r="C118" s="73" t="s">
        <v>315</v>
      </c>
      <c r="D118" s="99" t="s">
        <v>316</v>
      </c>
      <c r="E118" s="110"/>
      <c r="F118" s="122">
        <v>16828</v>
      </c>
      <c r="G118" s="73">
        <v>0.34</v>
      </c>
      <c r="H118" s="74">
        <v>0.30020000000000002</v>
      </c>
      <c r="I118" s="35">
        <v>1</v>
      </c>
      <c r="J118" s="111"/>
      <c r="K118" s="65"/>
      <c r="L118" s="65">
        <v>1.4</v>
      </c>
      <c r="M118" s="65">
        <v>1.68</v>
      </c>
      <c r="N118" s="97">
        <v>2.23</v>
      </c>
      <c r="O118" s="97">
        <v>2.57</v>
      </c>
      <c r="P118" s="36"/>
      <c r="Q118" s="48"/>
      <c r="R118" s="37"/>
      <c r="S118" s="48"/>
      <c r="T118" s="36"/>
      <c r="U118" s="48"/>
      <c r="V118" s="36">
        <f>19-4</f>
        <v>15</v>
      </c>
      <c r="W118" s="48">
        <f t="shared" ref="W118:W150" si="176">(V118*$F118*$G118*((1-$H118)+$H118*$L118*$I118))</f>
        <v>96128.401824</v>
      </c>
      <c r="X118" s="37"/>
      <c r="Y118" s="48"/>
      <c r="Z118" s="37"/>
      <c r="AA118" s="48"/>
      <c r="AB118" s="37"/>
      <c r="AC118" s="48"/>
      <c r="AD118" s="37"/>
      <c r="AE118" s="48"/>
      <c r="AF118" s="36">
        <f>5+1</f>
        <v>6</v>
      </c>
      <c r="AG118" s="48">
        <f t="shared" ref="AG118:AG123" si="177">(AF118*$F118*$G118*((1-$H118)+$H118*$M118*$I118))</f>
        <v>41336.929240320009</v>
      </c>
      <c r="AH118" s="37"/>
      <c r="AI118" s="48"/>
      <c r="AJ118" s="48">
        <v>0</v>
      </c>
      <c r="AK118" s="48">
        <v>0</v>
      </c>
      <c r="AL118" s="37"/>
      <c r="AM118" s="48"/>
      <c r="AN118" s="37"/>
      <c r="AO118" s="48"/>
      <c r="AP118" s="37"/>
      <c r="AQ118" s="48"/>
      <c r="AR118" s="37"/>
      <c r="AS118" s="48"/>
      <c r="AT118" s="37"/>
      <c r="AU118" s="48"/>
      <c r="AV118" s="37"/>
      <c r="AW118" s="48"/>
      <c r="AX118" s="37"/>
      <c r="AY118" s="48"/>
      <c r="AZ118" s="37"/>
      <c r="BA118" s="48"/>
      <c r="BB118" s="36"/>
      <c r="BC118" s="48"/>
      <c r="BD118" s="37"/>
      <c r="BE118" s="48"/>
      <c r="BF118" s="37"/>
      <c r="BG118" s="48"/>
      <c r="BH118" s="63"/>
      <c r="BI118" s="48"/>
      <c r="BJ118" s="37"/>
      <c r="BK118" s="48"/>
      <c r="BL118" s="37"/>
      <c r="BM118" s="48"/>
      <c r="BN118" s="36"/>
      <c r="BO118" s="48"/>
      <c r="BP118" s="39"/>
      <c r="BQ118" s="48"/>
      <c r="BR118" s="37"/>
      <c r="BS118" s="48"/>
      <c r="BT118" s="37"/>
      <c r="BU118" s="48"/>
      <c r="BV118" s="36"/>
      <c r="BW118" s="48"/>
      <c r="BX118" s="37"/>
      <c r="BY118" s="48"/>
      <c r="BZ118" s="37"/>
      <c r="CA118" s="48"/>
      <c r="CB118" s="37"/>
      <c r="CC118" s="48"/>
      <c r="CD118" s="37"/>
      <c r="CE118" s="48"/>
      <c r="CF118" s="37"/>
      <c r="CG118" s="48"/>
      <c r="CH118" s="37"/>
      <c r="CI118" s="48"/>
      <c r="CJ118" s="36"/>
      <c r="CK118" s="36"/>
      <c r="CL118" s="36"/>
      <c r="CM118" s="36"/>
      <c r="CN118" s="41"/>
      <c r="CO118" s="41"/>
      <c r="CP118" s="42">
        <f t="shared" si="91"/>
        <v>21</v>
      </c>
      <c r="CQ118" s="42">
        <f t="shared" si="91"/>
        <v>137465.33106431999</v>
      </c>
    </row>
    <row r="119" spans="1:95" s="3" customFormat="1" ht="18.75" hidden="1" x14ac:dyDescent="0.25">
      <c r="A119" s="54"/>
      <c r="B119" s="98" t="s">
        <v>317</v>
      </c>
      <c r="C119" s="73" t="s">
        <v>318</v>
      </c>
      <c r="D119" s="99" t="s">
        <v>319</v>
      </c>
      <c r="E119" s="110"/>
      <c r="F119" s="122">
        <v>16828</v>
      </c>
      <c r="G119" s="73">
        <v>0.64</v>
      </c>
      <c r="H119" s="74">
        <v>0.30020000000000002</v>
      </c>
      <c r="I119" s="35">
        <v>1</v>
      </c>
      <c r="J119" s="111"/>
      <c r="K119" s="65"/>
      <c r="L119" s="65">
        <v>1.4</v>
      </c>
      <c r="M119" s="65">
        <v>1.68</v>
      </c>
      <c r="N119" s="97">
        <v>2.23</v>
      </c>
      <c r="O119" s="97">
        <v>2.57</v>
      </c>
      <c r="P119" s="36"/>
      <c r="Q119" s="48"/>
      <c r="R119" s="37"/>
      <c r="S119" s="48"/>
      <c r="T119" s="36"/>
      <c r="U119" s="48"/>
      <c r="V119" s="36">
        <f>10+5</f>
        <v>15</v>
      </c>
      <c r="W119" s="48">
        <f t="shared" si="176"/>
        <v>180947.57990400001</v>
      </c>
      <c r="X119" s="37"/>
      <c r="Y119" s="48"/>
      <c r="Z119" s="37"/>
      <c r="AA119" s="48"/>
      <c r="AB119" s="37"/>
      <c r="AC119" s="48"/>
      <c r="AD119" s="37"/>
      <c r="AE119" s="48"/>
      <c r="AF119" s="36">
        <v>3</v>
      </c>
      <c r="AG119" s="48">
        <f t="shared" si="177"/>
        <v>38905.345167360007</v>
      </c>
      <c r="AH119" s="37"/>
      <c r="AI119" s="48"/>
      <c r="AJ119" s="48">
        <v>0</v>
      </c>
      <c r="AK119" s="48">
        <v>0</v>
      </c>
      <c r="AL119" s="37"/>
      <c r="AM119" s="48"/>
      <c r="AN119" s="37"/>
      <c r="AO119" s="48"/>
      <c r="AP119" s="37"/>
      <c r="AQ119" s="48"/>
      <c r="AR119" s="37"/>
      <c r="AS119" s="48"/>
      <c r="AT119" s="37"/>
      <c r="AU119" s="48"/>
      <c r="AV119" s="37"/>
      <c r="AW119" s="48"/>
      <c r="AX119" s="37"/>
      <c r="AY119" s="48"/>
      <c r="AZ119" s="37"/>
      <c r="BA119" s="48"/>
      <c r="BB119" s="36"/>
      <c r="BC119" s="48"/>
      <c r="BD119" s="37"/>
      <c r="BE119" s="48"/>
      <c r="BF119" s="37"/>
      <c r="BG119" s="48"/>
      <c r="BH119" s="63"/>
      <c r="BI119" s="48"/>
      <c r="BJ119" s="37"/>
      <c r="BK119" s="48"/>
      <c r="BL119" s="37"/>
      <c r="BM119" s="48"/>
      <c r="BN119" s="36"/>
      <c r="BO119" s="48"/>
      <c r="BP119" s="39"/>
      <c r="BQ119" s="48"/>
      <c r="BR119" s="37"/>
      <c r="BS119" s="48"/>
      <c r="BT119" s="37"/>
      <c r="BU119" s="48"/>
      <c r="BV119" s="36"/>
      <c r="BW119" s="48"/>
      <c r="BX119" s="37"/>
      <c r="BY119" s="48"/>
      <c r="BZ119" s="37"/>
      <c r="CA119" s="48"/>
      <c r="CB119" s="37"/>
      <c r="CC119" s="48"/>
      <c r="CD119" s="37"/>
      <c r="CE119" s="48"/>
      <c r="CF119" s="37"/>
      <c r="CG119" s="48"/>
      <c r="CH119" s="37"/>
      <c r="CI119" s="48"/>
      <c r="CJ119" s="36"/>
      <c r="CK119" s="36"/>
      <c r="CL119" s="36"/>
      <c r="CM119" s="36"/>
      <c r="CN119" s="41"/>
      <c r="CO119" s="41"/>
      <c r="CP119" s="42">
        <f t="shared" si="91"/>
        <v>18</v>
      </c>
      <c r="CQ119" s="42">
        <f t="shared" si="91"/>
        <v>219852.92507136002</v>
      </c>
    </row>
    <row r="120" spans="1:95" s="3" customFormat="1" ht="45" hidden="1" customHeight="1" x14ac:dyDescent="0.25">
      <c r="A120" s="54"/>
      <c r="B120" s="54">
        <v>89</v>
      </c>
      <c r="C120" s="73" t="s">
        <v>320</v>
      </c>
      <c r="D120" s="70" t="s">
        <v>321</v>
      </c>
      <c r="E120" s="110">
        <v>16026</v>
      </c>
      <c r="F120" s="110">
        <v>16828</v>
      </c>
      <c r="G120" s="73">
        <v>0.77</v>
      </c>
      <c r="H120" s="62">
        <v>0.1802</v>
      </c>
      <c r="I120" s="35">
        <v>1</v>
      </c>
      <c r="J120" s="111"/>
      <c r="K120" s="35"/>
      <c r="L120" s="65">
        <v>1.4</v>
      </c>
      <c r="M120" s="65">
        <v>1.68</v>
      </c>
      <c r="N120" s="65">
        <v>2.23</v>
      </c>
      <c r="O120" s="65">
        <v>2.57</v>
      </c>
      <c r="P120" s="36"/>
      <c r="Q120" s="48">
        <f t="shared" si="150"/>
        <v>0</v>
      </c>
      <c r="R120" s="37"/>
      <c r="S120" s="48">
        <f t="shared" si="151"/>
        <v>0</v>
      </c>
      <c r="T120" s="36"/>
      <c r="U120" s="48">
        <f t="shared" si="152"/>
        <v>0</v>
      </c>
      <c r="V120" s="36">
        <f>59+21</f>
        <v>80</v>
      </c>
      <c r="W120" s="48">
        <f t="shared" si="153"/>
        <v>1102495.9102079999</v>
      </c>
      <c r="X120" s="37"/>
      <c r="Y120" s="48">
        <f t="shared" si="154"/>
        <v>0</v>
      </c>
      <c r="Z120" s="37"/>
      <c r="AA120" s="48">
        <f t="shared" si="155"/>
        <v>0</v>
      </c>
      <c r="AB120" s="37"/>
      <c r="AC120" s="48"/>
      <c r="AD120" s="37">
        <v>0</v>
      </c>
      <c r="AE120" s="48">
        <f t="shared" si="156"/>
        <v>0</v>
      </c>
      <c r="AF120" s="36">
        <v>1</v>
      </c>
      <c r="AG120" s="48">
        <f t="shared" si="157"/>
        <v>14429.79242525333</v>
      </c>
      <c r="AH120" s="37"/>
      <c r="AI120" s="48">
        <f t="shared" si="158"/>
        <v>0</v>
      </c>
      <c r="AJ120" s="48">
        <v>0</v>
      </c>
      <c r="AK120" s="48">
        <v>0</v>
      </c>
      <c r="AL120" s="37"/>
      <c r="AM120" s="48">
        <f t="shared" si="159"/>
        <v>0</v>
      </c>
      <c r="AN120" s="37"/>
      <c r="AO120" s="48">
        <f t="shared" si="160"/>
        <v>0</v>
      </c>
      <c r="AP120" s="37"/>
      <c r="AQ120" s="48"/>
      <c r="AR120" s="37"/>
      <c r="AS120" s="48"/>
      <c r="AT120" s="37"/>
      <c r="AU120" s="48"/>
      <c r="AV120" s="37"/>
      <c r="AW120" s="48"/>
      <c r="AX120" s="37"/>
      <c r="AY120" s="48"/>
      <c r="AZ120" s="37"/>
      <c r="BA120" s="48"/>
      <c r="BB120" s="37"/>
      <c r="BC120" s="48"/>
      <c r="BD120" s="37"/>
      <c r="BE120" s="48">
        <f t="shared" si="161"/>
        <v>0</v>
      </c>
      <c r="BF120" s="37"/>
      <c r="BG120" s="48">
        <f t="shared" si="162"/>
        <v>0</v>
      </c>
      <c r="BH120" s="63"/>
      <c r="BI120" s="48">
        <f t="shared" si="163"/>
        <v>0</v>
      </c>
      <c r="BJ120" s="37"/>
      <c r="BK120" s="48">
        <f t="shared" si="164"/>
        <v>0</v>
      </c>
      <c r="BL120" s="37"/>
      <c r="BM120" s="48">
        <f t="shared" si="165"/>
        <v>0</v>
      </c>
      <c r="BN120" s="37"/>
      <c r="BO120" s="48">
        <f t="shared" si="166"/>
        <v>0</v>
      </c>
      <c r="BP120" s="39"/>
      <c r="BQ120" s="48"/>
      <c r="BR120" s="37"/>
      <c r="BS120" s="48">
        <f t="shared" si="167"/>
        <v>0</v>
      </c>
      <c r="BT120" s="37"/>
      <c r="BU120" s="48">
        <f t="shared" si="168"/>
        <v>0</v>
      </c>
      <c r="BV120" s="36"/>
      <c r="BW120" s="48">
        <f t="shared" si="169"/>
        <v>0</v>
      </c>
      <c r="BX120" s="37"/>
      <c r="BY120" s="48">
        <f t="shared" si="170"/>
        <v>0</v>
      </c>
      <c r="BZ120" s="37"/>
      <c r="CA120" s="48">
        <f t="shared" si="171"/>
        <v>0</v>
      </c>
      <c r="CB120" s="37"/>
      <c r="CC120" s="48">
        <f t="shared" si="172"/>
        <v>0</v>
      </c>
      <c r="CD120" s="37"/>
      <c r="CE120" s="48">
        <f t="shared" si="173"/>
        <v>0</v>
      </c>
      <c r="CF120" s="37"/>
      <c r="CG120" s="48">
        <f t="shared" si="174"/>
        <v>0</v>
      </c>
      <c r="CH120" s="36">
        <v>18</v>
      </c>
      <c r="CI120" s="48">
        <f t="shared" si="175"/>
        <v>296845.08020243997</v>
      </c>
      <c r="CJ120" s="36"/>
      <c r="CK120" s="36"/>
      <c r="CL120" s="36"/>
      <c r="CM120" s="36"/>
      <c r="CN120" s="36"/>
      <c r="CO120" s="36"/>
      <c r="CP120" s="42">
        <f t="shared" si="91"/>
        <v>99</v>
      </c>
      <c r="CQ120" s="42">
        <f t="shared" si="91"/>
        <v>1413770.7828356933</v>
      </c>
    </row>
    <row r="121" spans="1:95" s="3" customFormat="1" ht="18.75" hidden="1" customHeight="1" x14ac:dyDescent="0.25">
      <c r="A121" s="54"/>
      <c r="B121" s="98" t="s">
        <v>322</v>
      </c>
      <c r="C121" s="73" t="s">
        <v>323</v>
      </c>
      <c r="D121" s="99" t="s">
        <v>324</v>
      </c>
      <c r="E121" s="122"/>
      <c r="F121" s="122">
        <v>16828</v>
      </c>
      <c r="G121" s="73">
        <v>0.42</v>
      </c>
      <c r="H121" s="74">
        <v>0.1802</v>
      </c>
      <c r="I121" s="35">
        <v>1</v>
      </c>
      <c r="J121" s="111"/>
      <c r="K121" s="65"/>
      <c r="L121" s="65">
        <v>1.4</v>
      </c>
      <c r="M121" s="65">
        <v>1.68</v>
      </c>
      <c r="N121" s="65">
        <v>2.23</v>
      </c>
      <c r="O121" s="65">
        <v>2.57</v>
      </c>
      <c r="P121" s="36"/>
      <c r="Q121" s="48"/>
      <c r="R121" s="37"/>
      <c r="S121" s="48"/>
      <c r="T121" s="36"/>
      <c r="U121" s="48"/>
      <c r="V121" s="36">
        <f>61-5</f>
        <v>56</v>
      </c>
      <c r="W121" s="48">
        <f t="shared" si="176"/>
        <v>424323.43188479997</v>
      </c>
      <c r="X121" s="37"/>
      <c r="Y121" s="48"/>
      <c r="Z121" s="37"/>
      <c r="AA121" s="48"/>
      <c r="AB121" s="37"/>
      <c r="AC121" s="48"/>
      <c r="AD121" s="37"/>
      <c r="AE121" s="48"/>
      <c r="AF121" s="36">
        <v>2</v>
      </c>
      <c r="AG121" s="48">
        <f t="shared" si="177"/>
        <v>15867.630078719998</v>
      </c>
      <c r="AH121" s="37"/>
      <c r="AI121" s="48"/>
      <c r="AJ121" s="48">
        <v>0</v>
      </c>
      <c r="AK121" s="48">
        <v>0</v>
      </c>
      <c r="AL121" s="37"/>
      <c r="AM121" s="48"/>
      <c r="AN121" s="37"/>
      <c r="AO121" s="48"/>
      <c r="AP121" s="37"/>
      <c r="AQ121" s="48"/>
      <c r="AR121" s="37"/>
      <c r="AS121" s="48"/>
      <c r="AT121" s="37"/>
      <c r="AU121" s="48"/>
      <c r="AV121" s="37"/>
      <c r="AW121" s="48"/>
      <c r="AX121" s="37"/>
      <c r="AY121" s="48"/>
      <c r="AZ121" s="37"/>
      <c r="BA121" s="48"/>
      <c r="BB121" s="37"/>
      <c r="BC121" s="48"/>
      <c r="BD121" s="37"/>
      <c r="BE121" s="48"/>
      <c r="BF121" s="37"/>
      <c r="BG121" s="48"/>
      <c r="BH121" s="63"/>
      <c r="BI121" s="48"/>
      <c r="BJ121" s="37"/>
      <c r="BK121" s="48"/>
      <c r="BL121" s="37"/>
      <c r="BM121" s="48"/>
      <c r="BN121" s="37"/>
      <c r="BO121" s="48"/>
      <c r="BP121" s="39"/>
      <c r="BQ121" s="48"/>
      <c r="BR121" s="37"/>
      <c r="BS121" s="48"/>
      <c r="BT121" s="37"/>
      <c r="BU121" s="48"/>
      <c r="BV121" s="36"/>
      <c r="BW121" s="48"/>
      <c r="BX121" s="37"/>
      <c r="BY121" s="48"/>
      <c r="BZ121" s="37"/>
      <c r="CA121" s="48"/>
      <c r="CB121" s="37"/>
      <c r="CC121" s="48"/>
      <c r="CD121" s="37"/>
      <c r="CE121" s="48"/>
      <c r="CF121" s="37"/>
      <c r="CG121" s="48"/>
      <c r="CH121" s="36"/>
      <c r="CI121" s="48"/>
      <c r="CJ121" s="36"/>
      <c r="CK121" s="36"/>
      <c r="CL121" s="36"/>
      <c r="CM121" s="36"/>
      <c r="CN121" s="36"/>
      <c r="CO121" s="36"/>
      <c r="CP121" s="42">
        <f t="shared" si="91"/>
        <v>58</v>
      </c>
      <c r="CQ121" s="42">
        <f t="shared" si="91"/>
        <v>440191.06196351995</v>
      </c>
    </row>
    <row r="122" spans="1:95" s="3" customFormat="1" ht="18.75" hidden="1" customHeight="1" x14ac:dyDescent="0.25">
      <c r="A122" s="54"/>
      <c r="B122" s="98" t="s">
        <v>325</v>
      </c>
      <c r="C122" s="73" t="s">
        <v>326</v>
      </c>
      <c r="D122" s="99" t="s">
        <v>327</v>
      </c>
      <c r="E122" s="122"/>
      <c r="F122" s="122">
        <v>16828</v>
      </c>
      <c r="G122" s="73">
        <v>0.74</v>
      </c>
      <c r="H122" s="74">
        <v>0.1802</v>
      </c>
      <c r="I122" s="35">
        <v>1</v>
      </c>
      <c r="J122" s="111"/>
      <c r="K122" s="65"/>
      <c r="L122" s="65">
        <v>1.4</v>
      </c>
      <c r="M122" s="65">
        <v>1.68</v>
      </c>
      <c r="N122" s="65">
        <v>2.23</v>
      </c>
      <c r="O122" s="65">
        <v>2.57</v>
      </c>
      <c r="P122" s="36"/>
      <c r="Q122" s="48"/>
      <c r="R122" s="37"/>
      <c r="S122" s="48"/>
      <c r="T122" s="36"/>
      <c r="U122" s="48"/>
      <c r="V122" s="36">
        <f>92+3</f>
        <v>95</v>
      </c>
      <c r="W122" s="48">
        <f t="shared" si="176"/>
        <v>1268279.6454719999</v>
      </c>
      <c r="X122" s="37"/>
      <c r="Y122" s="48"/>
      <c r="Z122" s="37"/>
      <c r="AA122" s="48"/>
      <c r="AB122" s="37"/>
      <c r="AC122" s="48"/>
      <c r="AD122" s="37"/>
      <c r="AE122" s="48"/>
      <c r="AF122" s="36">
        <v>1</v>
      </c>
      <c r="AG122" s="48">
        <f t="shared" si="177"/>
        <v>13978.626497919999</v>
      </c>
      <c r="AH122" s="37"/>
      <c r="AI122" s="48"/>
      <c r="AJ122" s="48">
        <v>0</v>
      </c>
      <c r="AK122" s="48">
        <v>0</v>
      </c>
      <c r="AL122" s="37"/>
      <c r="AM122" s="48"/>
      <c r="AN122" s="37"/>
      <c r="AO122" s="48"/>
      <c r="AP122" s="37"/>
      <c r="AQ122" s="48"/>
      <c r="AR122" s="37"/>
      <c r="AS122" s="48"/>
      <c r="AT122" s="37"/>
      <c r="AU122" s="48"/>
      <c r="AV122" s="37"/>
      <c r="AW122" s="48"/>
      <c r="AX122" s="37"/>
      <c r="AY122" s="48"/>
      <c r="AZ122" s="37"/>
      <c r="BA122" s="48"/>
      <c r="BB122" s="37"/>
      <c r="BC122" s="48"/>
      <c r="BD122" s="37"/>
      <c r="BE122" s="48"/>
      <c r="BF122" s="37"/>
      <c r="BG122" s="48"/>
      <c r="BH122" s="63"/>
      <c r="BI122" s="48"/>
      <c r="BJ122" s="37"/>
      <c r="BK122" s="48"/>
      <c r="BL122" s="37"/>
      <c r="BM122" s="48"/>
      <c r="BN122" s="37"/>
      <c r="BO122" s="48"/>
      <c r="BP122" s="39"/>
      <c r="BQ122" s="48"/>
      <c r="BR122" s="37"/>
      <c r="BS122" s="48"/>
      <c r="BT122" s="37"/>
      <c r="BU122" s="48"/>
      <c r="BV122" s="36"/>
      <c r="BW122" s="48"/>
      <c r="BX122" s="37"/>
      <c r="BY122" s="48"/>
      <c r="BZ122" s="37"/>
      <c r="CA122" s="48"/>
      <c r="CB122" s="37"/>
      <c r="CC122" s="48"/>
      <c r="CD122" s="37"/>
      <c r="CE122" s="48"/>
      <c r="CF122" s="37"/>
      <c r="CG122" s="48"/>
      <c r="CH122" s="36"/>
      <c r="CI122" s="48"/>
      <c r="CJ122" s="36"/>
      <c r="CK122" s="36"/>
      <c r="CL122" s="36"/>
      <c r="CM122" s="36"/>
      <c r="CN122" s="36"/>
      <c r="CO122" s="36"/>
      <c r="CP122" s="42">
        <f t="shared" si="91"/>
        <v>96</v>
      </c>
      <c r="CQ122" s="42">
        <f t="shared" si="91"/>
        <v>1282258.2719699198</v>
      </c>
    </row>
    <row r="123" spans="1:95" s="3" customFormat="1" ht="18.75" hidden="1" customHeight="1" x14ac:dyDescent="0.25">
      <c r="A123" s="54"/>
      <c r="B123" s="98" t="s">
        <v>328</v>
      </c>
      <c r="C123" s="73" t="s">
        <v>329</v>
      </c>
      <c r="D123" s="99" t="s">
        <v>330</v>
      </c>
      <c r="E123" s="122"/>
      <c r="F123" s="122">
        <v>16828</v>
      </c>
      <c r="G123" s="73">
        <v>1.57</v>
      </c>
      <c r="H123" s="74">
        <v>0.1802</v>
      </c>
      <c r="I123" s="35">
        <v>1</v>
      </c>
      <c r="J123" s="111"/>
      <c r="K123" s="65"/>
      <c r="L123" s="65">
        <v>1.4</v>
      </c>
      <c r="M123" s="65">
        <v>1.68</v>
      </c>
      <c r="N123" s="65">
        <v>2.23</v>
      </c>
      <c r="O123" s="65">
        <v>2.57</v>
      </c>
      <c r="P123" s="36"/>
      <c r="Q123" s="48"/>
      <c r="R123" s="37"/>
      <c r="S123" s="48"/>
      <c r="T123" s="36"/>
      <c r="U123" s="48"/>
      <c r="V123" s="36">
        <f>30-2</f>
        <v>28</v>
      </c>
      <c r="W123" s="48">
        <f t="shared" si="176"/>
        <v>793080.70007039991</v>
      </c>
      <c r="X123" s="37"/>
      <c r="Y123" s="48"/>
      <c r="Z123" s="37"/>
      <c r="AA123" s="48"/>
      <c r="AB123" s="37"/>
      <c r="AC123" s="48"/>
      <c r="AD123" s="37"/>
      <c r="AE123" s="48"/>
      <c r="AF123" s="36">
        <v>1</v>
      </c>
      <c r="AG123" s="48">
        <f t="shared" si="177"/>
        <v>29657.356218560002</v>
      </c>
      <c r="AH123" s="37"/>
      <c r="AI123" s="48"/>
      <c r="AJ123" s="48">
        <v>0</v>
      </c>
      <c r="AK123" s="48">
        <v>0</v>
      </c>
      <c r="AL123" s="37"/>
      <c r="AM123" s="48"/>
      <c r="AN123" s="37"/>
      <c r="AO123" s="48"/>
      <c r="AP123" s="37"/>
      <c r="AQ123" s="48"/>
      <c r="AR123" s="37"/>
      <c r="AS123" s="48"/>
      <c r="AT123" s="37"/>
      <c r="AU123" s="48"/>
      <c r="AV123" s="37"/>
      <c r="AW123" s="48"/>
      <c r="AX123" s="37"/>
      <c r="AY123" s="48"/>
      <c r="AZ123" s="37"/>
      <c r="BA123" s="48"/>
      <c r="BB123" s="37"/>
      <c r="BC123" s="48"/>
      <c r="BD123" s="37"/>
      <c r="BE123" s="48"/>
      <c r="BF123" s="37"/>
      <c r="BG123" s="48"/>
      <c r="BH123" s="63"/>
      <c r="BI123" s="48"/>
      <c r="BJ123" s="37"/>
      <c r="BK123" s="48"/>
      <c r="BL123" s="37"/>
      <c r="BM123" s="48"/>
      <c r="BN123" s="37"/>
      <c r="BO123" s="48"/>
      <c r="BP123" s="39"/>
      <c r="BQ123" s="48"/>
      <c r="BR123" s="37"/>
      <c r="BS123" s="48"/>
      <c r="BT123" s="37"/>
      <c r="BU123" s="48"/>
      <c r="BV123" s="36"/>
      <c r="BW123" s="48"/>
      <c r="BX123" s="37"/>
      <c r="BY123" s="48"/>
      <c r="BZ123" s="37"/>
      <c r="CA123" s="48"/>
      <c r="CB123" s="37"/>
      <c r="CC123" s="48"/>
      <c r="CD123" s="37"/>
      <c r="CE123" s="48"/>
      <c r="CF123" s="37"/>
      <c r="CG123" s="48"/>
      <c r="CH123" s="36"/>
      <c r="CI123" s="48"/>
      <c r="CJ123" s="36"/>
      <c r="CK123" s="36"/>
      <c r="CL123" s="36"/>
      <c r="CM123" s="36"/>
      <c r="CN123" s="36"/>
      <c r="CO123" s="36"/>
      <c r="CP123" s="42">
        <f t="shared" si="91"/>
        <v>29</v>
      </c>
      <c r="CQ123" s="42">
        <f t="shared" si="91"/>
        <v>822738.05628895992</v>
      </c>
    </row>
    <row r="124" spans="1:95" s="3" customFormat="1" ht="45" hidden="1" customHeight="1" x14ac:dyDescent="0.25">
      <c r="A124" s="54"/>
      <c r="B124" s="54">
        <v>90</v>
      </c>
      <c r="C124" s="73" t="s">
        <v>331</v>
      </c>
      <c r="D124" s="70" t="s">
        <v>332</v>
      </c>
      <c r="E124" s="110">
        <v>16026</v>
      </c>
      <c r="F124" s="110">
        <v>16828</v>
      </c>
      <c r="G124" s="73">
        <v>1.42</v>
      </c>
      <c r="H124" s="62">
        <v>0.2472</v>
      </c>
      <c r="I124" s="35">
        <v>1</v>
      </c>
      <c r="J124" s="111"/>
      <c r="K124" s="35"/>
      <c r="L124" s="97">
        <v>1.4</v>
      </c>
      <c r="M124" s="97">
        <v>1.68</v>
      </c>
      <c r="N124" s="97">
        <v>2.23</v>
      </c>
      <c r="O124" s="97">
        <v>2.57</v>
      </c>
      <c r="P124" s="36">
        <v>0</v>
      </c>
      <c r="Q124" s="48">
        <f t="shared" si="150"/>
        <v>0</v>
      </c>
      <c r="R124" s="37">
        <v>0</v>
      </c>
      <c r="S124" s="48">
        <f t="shared" si="151"/>
        <v>0</v>
      </c>
      <c r="T124" s="36"/>
      <c r="U124" s="48">
        <f t="shared" si="152"/>
        <v>0</v>
      </c>
      <c r="V124" s="36">
        <f>5+10</f>
        <v>15</v>
      </c>
      <c r="W124" s="48">
        <f t="shared" si="153"/>
        <v>390749.96998400002</v>
      </c>
      <c r="X124" s="37">
        <v>0</v>
      </c>
      <c r="Y124" s="48">
        <f t="shared" si="154"/>
        <v>0</v>
      </c>
      <c r="Z124" s="37"/>
      <c r="AA124" s="48">
        <f t="shared" si="155"/>
        <v>0</v>
      </c>
      <c r="AB124" s="37"/>
      <c r="AC124" s="48"/>
      <c r="AD124" s="37">
        <v>0</v>
      </c>
      <c r="AE124" s="48">
        <f t="shared" si="156"/>
        <v>0</v>
      </c>
      <c r="AF124" s="36"/>
      <c r="AG124" s="48">
        <f t="shared" si="157"/>
        <v>0</v>
      </c>
      <c r="AH124" s="37">
        <v>0</v>
      </c>
      <c r="AI124" s="48">
        <f t="shared" si="158"/>
        <v>0</v>
      </c>
      <c r="AJ124" s="48">
        <v>0</v>
      </c>
      <c r="AK124" s="48">
        <v>0</v>
      </c>
      <c r="AL124" s="37"/>
      <c r="AM124" s="48">
        <f t="shared" si="159"/>
        <v>0</v>
      </c>
      <c r="AN124" s="37">
        <v>0</v>
      </c>
      <c r="AO124" s="48">
        <f t="shared" si="160"/>
        <v>0</v>
      </c>
      <c r="AP124" s="37"/>
      <c r="AQ124" s="48"/>
      <c r="AR124" s="37"/>
      <c r="AS124" s="48"/>
      <c r="AT124" s="37">
        <v>0</v>
      </c>
      <c r="AU124" s="48"/>
      <c r="AV124" s="37">
        <v>0</v>
      </c>
      <c r="AW124" s="48"/>
      <c r="AX124" s="37">
        <v>0</v>
      </c>
      <c r="AY124" s="48"/>
      <c r="AZ124" s="37">
        <v>0</v>
      </c>
      <c r="BA124" s="48"/>
      <c r="BB124" s="37">
        <v>0</v>
      </c>
      <c r="BC124" s="48"/>
      <c r="BD124" s="37"/>
      <c r="BE124" s="48">
        <f t="shared" si="161"/>
        <v>0</v>
      </c>
      <c r="BF124" s="37">
        <v>0</v>
      </c>
      <c r="BG124" s="48">
        <f t="shared" si="162"/>
        <v>0</v>
      </c>
      <c r="BH124" s="63">
        <v>0</v>
      </c>
      <c r="BI124" s="48">
        <f t="shared" si="163"/>
        <v>0</v>
      </c>
      <c r="BJ124" s="37">
        <v>0</v>
      </c>
      <c r="BK124" s="48">
        <f t="shared" si="164"/>
        <v>0</v>
      </c>
      <c r="BL124" s="37">
        <v>0</v>
      </c>
      <c r="BM124" s="48">
        <f t="shared" si="165"/>
        <v>0</v>
      </c>
      <c r="BN124" s="37">
        <v>0</v>
      </c>
      <c r="BO124" s="48">
        <f t="shared" si="166"/>
        <v>0</v>
      </c>
      <c r="BP124" s="39"/>
      <c r="BQ124" s="48"/>
      <c r="BR124" s="37">
        <v>0</v>
      </c>
      <c r="BS124" s="48">
        <f t="shared" si="167"/>
        <v>0</v>
      </c>
      <c r="BT124" s="37">
        <v>0</v>
      </c>
      <c r="BU124" s="48">
        <f t="shared" si="168"/>
        <v>0</v>
      </c>
      <c r="BV124" s="36">
        <v>0</v>
      </c>
      <c r="BW124" s="48">
        <f t="shared" si="169"/>
        <v>0</v>
      </c>
      <c r="BX124" s="37">
        <v>0</v>
      </c>
      <c r="BY124" s="48">
        <f t="shared" si="170"/>
        <v>0</v>
      </c>
      <c r="BZ124" s="37"/>
      <c r="CA124" s="48">
        <f t="shared" si="171"/>
        <v>0</v>
      </c>
      <c r="CB124" s="37"/>
      <c r="CC124" s="48">
        <f t="shared" si="172"/>
        <v>0</v>
      </c>
      <c r="CD124" s="37">
        <v>0</v>
      </c>
      <c r="CE124" s="48">
        <f t="shared" si="173"/>
        <v>0</v>
      </c>
      <c r="CF124" s="37">
        <v>0</v>
      </c>
      <c r="CG124" s="48">
        <f t="shared" si="174"/>
        <v>0</v>
      </c>
      <c r="CH124" s="37">
        <v>0</v>
      </c>
      <c r="CI124" s="48">
        <f t="shared" si="175"/>
        <v>0</v>
      </c>
      <c r="CJ124" s="36"/>
      <c r="CK124" s="36"/>
      <c r="CL124" s="36"/>
      <c r="CM124" s="36"/>
      <c r="CN124" s="41"/>
      <c r="CO124" s="41"/>
      <c r="CP124" s="42">
        <f t="shared" si="91"/>
        <v>15</v>
      </c>
      <c r="CQ124" s="42">
        <f t="shared" si="91"/>
        <v>390749.96998400002</v>
      </c>
    </row>
    <row r="125" spans="1:95" s="3" customFormat="1" ht="18.75" hidden="1" customHeight="1" x14ac:dyDescent="0.25">
      <c r="A125" s="54"/>
      <c r="B125" s="98" t="s">
        <v>333</v>
      </c>
      <c r="C125" s="73" t="s">
        <v>334</v>
      </c>
      <c r="D125" s="99" t="s">
        <v>335</v>
      </c>
      <c r="E125" s="122"/>
      <c r="F125" s="122">
        <v>16828</v>
      </c>
      <c r="G125" s="73">
        <v>0.87</v>
      </c>
      <c r="H125" s="74">
        <v>0.2472</v>
      </c>
      <c r="I125" s="35">
        <v>1</v>
      </c>
      <c r="J125" s="111"/>
      <c r="K125" s="65"/>
      <c r="L125" s="65">
        <v>1.4</v>
      </c>
      <c r="M125" s="65">
        <v>1.68</v>
      </c>
      <c r="N125" s="97">
        <v>2.23</v>
      </c>
      <c r="O125" s="97">
        <v>2.57</v>
      </c>
      <c r="P125" s="36"/>
      <c r="Q125" s="48"/>
      <c r="R125" s="37"/>
      <c r="S125" s="48"/>
      <c r="T125" s="36"/>
      <c r="U125" s="48"/>
      <c r="V125" s="36">
        <f>8+2</f>
        <v>10</v>
      </c>
      <c r="W125" s="48">
        <f t="shared" si="176"/>
        <v>160879.98796800003</v>
      </c>
      <c r="X125" s="37"/>
      <c r="Y125" s="48"/>
      <c r="Z125" s="37"/>
      <c r="AA125" s="48"/>
      <c r="AB125" s="37"/>
      <c r="AC125" s="48"/>
      <c r="AD125" s="37"/>
      <c r="AE125" s="48"/>
      <c r="AF125" s="36"/>
      <c r="AG125" s="48"/>
      <c r="AH125" s="37"/>
      <c r="AI125" s="48"/>
      <c r="AJ125" s="48">
        <v>0</v>
      </c>
      <c r="AK125" s="48">
        <v>0</v>
      </c>
      <c r="AL125" s="37"/>
      <c r="AM125" s="48"/>
      <c r="AN125" s="37"/>
      <c r="AO125" s="48"/>
      <c r="AP125" s="37"/>
      <c r="AQ125" s="48"/>
      <c r="AR125" s="37"/>
      <c r="AS125" s="48"/>
      <c r="AT125" s="37"/>
      <c r="AU125" s="48"/>
      <c r="AV125" s="37"/>
      <c r="AW125" s="48"/>
      <c r="AX125" s="37"/>
      <c r="AY125" s="48"/>
      <c r="AZ125" s="37"/>
      <c r="BA125" s="48"/>
      <c r="BB125" s="37"/>
      <c r="BC125" s="48"/>
      <c r="BD125" s="37"/>
      <c r="BE125" s="48"/>
      <c r="BF125" s="37"/>
      <c r="BG125" s="48"/>
      <c r="BH125" s="63"/>
      <c r="BI125" s="48"/>
      <c r="BJ125" s="37"/>
      <c r="BK125" s="48"/>
      <c r="BL125" s="37"/>
      <c r="BM125" s="48"/>
      <c r="BN125" s="37"/>
      <c r="BO125" s="48"/>
      <c r="BP125" s="39"/>
      <c r="BQ125" s="48"/>
      <c r="BR125" s="37"/>
      <c r="BS125" s="48"/>
      <c r="BT125" s="37"/>
      <c r="BU125" s="48"/>
      <c r="BV125" s="36"/>
      <c r="BW125" s="48"/>
      <c r="BX125" s="37"/>
      <c r="BY125" s="48"/>
      <c r="BZ125" s="37"/>
      <c r="CA125" s="48"/>
      <c r="CB125" s="37"/>
      <c r="CC125" s="48"/>
      <c r="CD125" s="37"/>
      <c r="CE125" s="48"/>
      <c r="CF125" s="37"/>
      <c r="CG125" s="48"/>
      <c r="CH125" s="37"/>
      <c r="CI125" s="48"/>
      <c r="CJ125" s="36"/>
      <c r="CK125" s="36"/>
      <c r="CL125" s="36"/>
      <c r="CM125" s="36"/>
      <c r="CN125" s="41"/>
      <c r="CO125" s="41"/>
      <c r="CP125" s="42">
        <f t="shared" si="91"/>
        <v>10</v>
      </c>
      <c r="CQ125" s="42">
        <f t="shared" si="91"/>
        <v>160879.98796800003</v>
      </c>
    </row>
    <row r="126" spans="1:95" s="3" customFormat="1" ht="18.75" hidden="1" customHeight="1" x14ac:dyDescent="0.25">
      <c r="A126" s="54"/>
      <c r="B126" s="98" t="s">
        <v>336</v>
      </c>
      <c r="C126" s="73" t="s">
        <v>337</v>
      </c>
      <c r="D126" s="99" t="s">
        <v>338</v>
      </c>
      <c r="E126" s="122"/>
      <c r="F126" s="122">
        <v>16828</v>
      </c>
      <c r="G126" s="73">
        <v>1.27</v>
      </c>
      <c r="H126" s="74">
        <v>0.2472</v>
      </c>
      <c r="I126" s="35">
        <v>1</v>
      </c>
      <c r="J126" s="111"/>
      <c r="K126" s="65"/>
      <c r="L126" s="65">
        <v>1.4</v>
      </c>
      <c r="M126" s="65">
        <v>1.68</v>
      </c>
      <c r="N126" s="97">
        <v>2.23</v>
      </c>
      <c r="O126" s="97">
        <v>2.57</v>
      </c>
      <c r="P126" s="36"/>
      <c r="Q126" s="48"/>
      <c r="R126" s="37"/>
      <c r="S126" s="48"/>
      <c r="T126" s="36"/>
      <c r="U126" s="48"/>
      <c r="V126" s="36">
        <f>15-2</f>
        <v>13</v>
      </c>
      <c r="W126" s="48">
        <f t="shared" si="176"/>
        <v>305302.13808640005</v>
      </c>
      <c r="X126" s="37"/>
      <c r="Y126" s="48"/>
      <c r="Z126" s="37"/>
      <c r="AA126" s="48"/>
      <c r="AB126" s="37"/>
      <c r="AC126" s="48"/>
      <c r="AD126" s="37"/>
      <c r="AE126" s="48"/>
      <c r="AF126" s="36"/>
      <c r="AG126" s="48"/>
      <c r="AH126" s="37"/>
      <c r="AI126" s="48"/>
      <c r="AJ126" s="48">
        <v>0</v>
      </c>
      <c r="AK126" s="48">
        <v>0</v>
      </c>
      <c r="AL126" s="37"/>
      <c r="AM126" s="48"/>
      <c r="AN126" s="37"/>
      <c r="AO126" s="48"/>
      <c r="AP126" s="37"/>
      <c r="AQ126" s="48"/>
      <c r="AR126" s="37"/>
      <c r="AS126" s="48"/>
      <c r="AT126" s="37"/>
      <c r="AU126" s="48"/>
      <c r="AV126" s="37"/>
      <c r="AW126" s="48"/>
      <c r="AX126" s="37"/>
      <c r="AY126" s="48"/>
      <c r="AZ126" s="37"/>
      <c r="BA126" s="48"/>
      <c r="BB126" s="37"/>
      <c r="BC126" s="48"/>
      <c r="BD126" s="37"/>
      <c r="BE126" s="48"/>
      <c r="BF126" s="37"/>
      <c r="BG126" s="48"/>
      <c r="BH126" s="63"/>
      <c r="BI126" s="48"/>
      <c r="BJ126" s="37"/>
      <c r="BK126" s="48"/>
      <c r="BL126" s="37"/>
      <c r="BM126" s="48"/>
      <c r="BN126" s="37"/>
      <c r="BO126" s="48"/>
      <c r="BP126" s="39"/>
      <c r="BQ126" s="48"/>
      <c r="BR126" s="37"/>
      <c r="BS126" s="48"/>
      <c r="BT126" s="37"/>
      <c r="BU126" s="48"/>
      <c r="BV126" s="36"/>
      <c r="BW126" s="48"/>
      <c r="BX126" s="37"/>
      <c r="BY126" s="48"/>
      <c r="BZ126" s="37"/>
      <c r="CA126" s="48"/>
      <c r="CB126" s="37"/>
      <c r="CC126" s="48"/>
      <c r="CD126" s="37"/>
      <c r="CE126" s="48"/>
      <c r="CF126" s="37"/>
      <c r="CG126" s="48"/>
      <c r="CH126" s="37"/>
      <c r="CI126" s="48"/>
      <c r="CJ126" s="36"/>
      <c r="CK126" s="36"/>
      <c r="CL126" s="36"/>
      <c r="CM126" s="36"/>
      <c r="CN126" s="41"/>
      <c r="CO126" s="41"/>
      <c r="CP126" s="42">
        <f t="shared" si="91"/>
        <v>13</v>
      </c>
      <c r="CQ126" s="42">
        <f t="shared" si="91"/>
        <v>305302.13808640005</v>
      </c>
    </row>
    <row r="127" spans="1:95" s="3" customFormat="1" ht="18.75" hidden="1" customHeight="1" x14ac:dyDescent="0.25">
      <c r="A127" s="54"/>
      <c r="B127" s="98" t="s">
        <v>339</v>
      </c>
      <c r="C127" s="73" t="s">
        <v>340</v>
      </c>
      <c r="D127" s="99" t="s">
        <v>341</v>
      </c>
      <c r="E127" s="122"/>
      <c r="F127" s="122">
        <v>16828</v>
      </c>
      <c r="G127" s="73">
        <v>2.2400000000000002</v>
      </c>
      <c r="H127" s="74">
        <v>0.2472</v>
      </c>
      <c r="I127" s="35">
        <v>1</v>
      </c>
      <c r="J127" s="111"/>
      <c r="K127" s="65"/>
      <c r="L127" s="65">
        <v>1.4</v>
      </c>
      <c r="M127" s="65">
        <v>1.68</v>
      </c>
      <c r="N127" s="97">
        <v>2.23</v>
      </c>
      <c r="O127" s="97">
        <v>2.57</v>
      </c>
      <c r="P127" s="36"/>
      <c r="Q127" s="48"/>
      <c r="R127" s="37"/>
      <c r="S127" s="48"/>
      <c r="T127" s="36"/>
      <c r="U127" s="48"/>
      <c r="V127" s="36">
        <f>8+1</f>
        <v>9</v>
      </c>
      <c r="W127" s="48">
        <f t="shared" si="176"/>
        <v>372797.76522240008</v>
      </c>
      <c r="X127" s="37"/>
      <c r="Y127" s="48"/>
      <c r="Z127" s="37"/>
      <c r="AA127" s="48"/>
      <c r="AB127" s="37"/>
      <c r="AC127" s="48"/>
      <c r="AD127" s="37"/>
      <c r="AE127" s="48"/>
      <c r="AF127" s="36"/>
      <c r="AG127" s="48"/>
      <c r="AH127" s="37"/>
      <c r="AI127" s="48"/>
      <c r="AJ127" s="48">
        <v>0</v>
      </c>
      <c r="AK127" s="48">
        <v>0</v>
      </c>
      <c r="AL127" s="37"/>
      <c r="AM127" s="48"/>
      <c r="AN127" s="37"/>
      <c r="AO127" s="48"/>
      <c r="AP127" s="37"/>
      <c r="AQ127" s="48"/>
      <c r="AR127" s="37"/>
      <c r="AS127" s="48"/>
      <c r="AT127" s="37"/>
      <c r="AU127" s="48"/>
      <c r="AV127" s="37"/>
      <c r="AW127" s="48"/>
      <c r="AX127" s="37"/>
      <c r="AY127" s="48"/>
      <c r="AZ127" s="37"/>
      <c r="BA127" s="48"/>
      <c r="BB127" s="37"/>
      <c r="BC127" s="48"/>
      <c r="BD127" s="37"/>
      <c r="BE127" s="48"/>
      <c r="BF127" s="37"/>
      <c r="BG127" s="48"/>
      <c r="BH127" s="63"/>
      <c r="BI127" s="48"/>
      <c r="BJ127" s="37"/>
      <c r="BK127" s="48"/>
      <c r="BL127" s="37"/>
      <c r="BM127" s="48"/>
      <c r="BN127" s="37"/>
      <c r="BO127" s="48"/>
      <c r="BP127" s="39"/>
      <c r="BQ127" s="48"/>
      <c r="BR127" s="37"/>
      <c r="BS127" s="48"/>
      <c r="BT127" s="37"/>
      <c r="BU127" s="48"/>
      <c r="BV127" s="36"/>
      <c r="BW127" s="48"/>
      <c r="BX127" s="37"/>
      <c r="BY127" s="48"/>
      <c r="BZ127" s="37"/>
      <c r="CA127" s="48"/>
      <c r="CB127" s="37"/>
      <c r="CC127" s="48"/>
      <c r="CD127" s="37"/>
      <c r="CE127" s="48"/>
      <c r="CF127" s="37"/>
      <c r="CG127" s="48"/>
      <c r="CH127" s="37"/>
      <c r="CI127" s="48"/>
      <c r="CJ127" s="36"/>
      <c r="CK127" s="36"/>
      <c r="CL127" s="36"/>
      <c r="CM127" s="36"/>
      <c r="CN127" s="41"/>
      <c r="CO127" s="41"/>
      <c r="CP127" s="42">
        <f t="shared" si="91"/>
        <v>9</v>
      </c>
      <c r="CQ127" s="42">
        <f t="shared" si="91"/>
        <v>372797.76522240008</v>
      </c>
    </row>
    <row r="128" spans="1:95" s="3" customFormat="1" ht="45" hidden="1" x14ac:dyDescent="0.25">
      <c r="A128" s="54"/>
      <c r="B128" s="54">
        <v>91</v>
      </c>
      <c r="C128" s="73" t="s">
        <v>342</v>
      </c>
      <c r="D128" s="70" t="s">
        <v>343</v>
      </c>
      <c r="E128" s="110">
        <v>16026</v>
      </c>
      <c r="F128" s="110">
        <v>16828</v>
      </c>
      <c r="G128" s="73">
        <v>1.96</v>
      </c>
      <c r="H128" s="62">
        <v>0.23330000000000001</v>
      </c>
      <c r="I128" s="35">
        <v>1</v>
      </c>
      <c r="J128" s="111"/>
      <c r="K128" s="35"/>
      <c r="L128" s="97">
        <v>1.4</v>
      </c>
      <c r="M128" s="97">
        <v>1.68</v>
      </c>
      <c r="N128" s="97">
        <v>2.23</v>
      </c>
      <c r="O128" s="97">
        <v>2.57</v>
      </c>
      <c r="P128" s="36"/>
      <c r="Q128" s="48">
        <f t="shared" si="150"/>
        <v>0</v>
      </c>
      <c r="R128" s="37"/>
      <c r="S128" s="48">
        <f t="shared" si="151"/>
        <v>0</v>
      </c>
      <c r="T128" s="36"/>
      <c r="U128" s="48">
        <f t="shared" si="152"/>
        <v>0</v>
      </c>
      <c r="V128" s="36">
        <f>15+37</f>
        <v>52</v>
      </c>
      <c r="W128" s="48">
        <f t="shared" si="153"/>
        <v>1860269.1691583993</v>
      </c>
      <c r="X128" s="37"/>
      <c r="Y128" s="48">
        <f t="shared" si="154"/>
        <v>0</v>
      </c>
      <c r="Z128" s="37"/>
      <c r="AA128" s="48">
        <f t="shared" si="155"/>
        <v>0</v>
      </c>
      <c r="AB128" s="37"/>
      <c r="AC128" s="48"/>
      <c r="AD128" s="37">
        <v>0</v>
      </c>
      <c r="AE128" s="48">
        <f t="shared" si="156"/>
        <v>0</v>
      </c>
      <c r="AF128" s="36">
        <f>9+15</f>
        <v>24</v>
      </c>
      <c r="AG128" s="48">
        <f t="shared" si="157"/>
        <v>909884.80164735997</v>
      </c>
      <c r="AH128" s="37"/>
      <c r="AI128" s="48">
        <f t="shared" si="158"/>
        <v>0</v>
      </c>
      <c r="AJ128" s="48">
        <v>0</v>
      </c>
      <c r="AK128" s="48">
        <v>0</v>
      </c>
      <c r="AL128" s="37"/>
      <c r="AM128" s="48">
        <f t="shared" si="159"/>
        <v>0</v>
      </c>
      <c r="AN128" s="37"/>
      <c r="AO128" s="48">
        <f t="shared" si="160"/>
        <v>0</v>
      </c>
      <c r="AP128" s="37"/>
      <c r="AQ128" s="48"/>
      <c r="AR128" s="37"/>
      <c r="AS128" s="48"/>
      <c r="AT128" s="37"/>
      <c r="AU128" s="48"/>
      <c r="AV128" s="37"/>
      <c r="AW128" s="48"/>
      <c r="AX128" s="37"/>
      <c r="AY128" s="48"/>
      <c r="AZ128" s="37"/>
      <c r="BA128" s="48"/>
      <c r="BB128" s="37"/>
      <c r="BC128" s="48"/>
      <c r="BD128" s="37"/>
      <c r="BE128" s="48">
        <f t="shared" si="161"/>
        <v>0</v>
      </c>
      <c r="BF128" s="37"/>
      <c r="BG128" s="48">
        <f t="shared" si="162"/>
        <v>0</v>
      </c>
      <c r="BH128" s="63"/>
      <c r="BI128" s="48">
        <f t="shared" si="163"/>
        <v>0</v>
      </c>
      <c r="BJ128" s="37"/>
      <c r="BK128" s="48">
        <f t="shared" si="164"/>
        <v>0</v>
      </c>
      <c r="BL128" s="37"/>
      <c r="BM128" s="48">
        <f t="shared" si="165"/>
        <v>0</v>
      </c>
      <c r="BN128" s="37"/>
      <c r="BO128" s="48">
        <f t="shared" si="166"/>
        <v>0</v>
      </c>
      <c r="BP128" s="39"/>
      <c r="BQ128" s="48"/>
      <c r="BR128" s="37"/>
      <c r="BS128" s="48">
        <f t="shared" si="167"/>
        <v>0</v>
      </c>
      <c r="BT128" s="37"/>
      <c r="BU128" s="48">
        <f t="shared" si="168"/>
        <v>0</v>
      </c>
      <c r="BV128" s="36"/>
      <c r="BW128" s="48">
        <f t="shared" si="169"/>
        <v>0</v>
      </c>
      <c r="BX128" s="37"/>
      <c r="BY128" s="48">
        <f t="shared" si="170"/>
        <v>0</v>
      </c>
      <c r="BZ128" s="37"/>
      <c r="CA128" s="48">
        <f t="shared" si="171"/>
        <v>0</v>
      </c>
      <c r="CB128" s="37"/>
      <c r="CC128" s="48">
        <f t="shared" si="172"/>
        <v>0</v>
      </c>
      <c r="CD128" s="37"/>
      <c r="CE128" s="48">
        <f t="shared" si="173"/>
        <v>0</v>
      </c>
      <c r="CF128" s="37"/>
      <c r="CG128" s="48">
        <f t="shared" si="174"/>
        <v>0</v>
      </c>
      <c r="CH128" s="37"/>
      <c r="CI128" s="48">
        <f t="shared" si="175"/>
        <v>0</v>
      </c>
      <c r="CJ128" s="36"/>
      <c r="CK128" s="36"/>
      <c r="CL128" s="36"/>
      <c r="CM128" s="36"/>
      <c r="CN128" s="41"/>
      <c r="CO128" s="41"/>
      <c r="CP128" s="42">
        <f t="shared" si="91"/>
        <v>76</v>
      </c>
      <c r="CQ128" s="42">
        <f t="shared" si="91"/>
        <v>2770153.9708057595</v>
      </c>
    </row>
    <row r="129" spans="1:95" s="3" customFormat="1" ht="18.75" hidden="1" x14ac:dyDescent="0.25">
      <c r="A129" s="54"/>
      <c r="B129" s="98" t="s">
        <v>344</v>
      </c>
      <c r="C129" s="73" t="s">
        <v>345</v>
      </c>
      <c r="D129" s="99" t="s">
        <v>346</v>
      </c>
      <c r="E129" s="122"/>
      <c r="F129" s="122">
        <v>16828</v>
      </c>
      <c r="G129" s="73">
        <v>1.35</v>
      </c>
      <c r="H129" s="74">
        <v>0.23330000000000001</v>
      </c>
      <c r="I129" s="35">
        <v>1</v>
      </c>
      <c r="J129" s="111"/>
      <c r="K129" s="65"/>
      <c r="L129" s="65">
        <v>1.4</v>
      </c>
      <c r="M129" s="65">
        <v>1.68</v>
      </c>
      <c r="N129" s="97">
        <v>2.23</v>
      </c>
      <c r="O129" s="97">
        <v>2.57</v>
      </c>
      <c r="P129" s="36"/>
      <c r="Q129" s="48"/>
      <c r="R129" s="37"/>
      <c r="S129" s="48"/>
      <c r="T129" s="36"/>
      <c r="U129" s="48"/>
      <c r="V129" s="36">
        <f>30+39</f>
        <v>69</v>
      </c>
      <c r="W129" s="48">
        <f t="shared" si="176"/>
        <v>1713809.931624</v>
      </c>
      <c r="X129" s="37"/>
      <c r="Y129" s="48"/>
      <c r="Z129" s="37"/>
      <c r="AA129" s="48"/>
      <c r="AB129" s="37"/>
      <c r="AC129" s="48"/>
      <c r="AD129" s="37"/>
      <c r="AE129" s="48"/>
      <c r="AF129" s="36">
        <f>4+18</f>
        <v>22</v>
      </c>
      <c r="AG129" s="48">
        <f t="shared" ref="AG129:AG131" si="178">(AF129*$F129*$G129*((1-$H129)+$H129*$M129*$I129))</f>
        <v>579080.53859040001</v>
      </c>
      <c r="AH129" s="37"/>
      <c r="AI129" s="48"/>
      <c r="AJ129" s="48">
        <v>0</v>
      </c>
      <c r="AK129" s="48">
        <v>0</v>
      </c>
      <c r="AL129" s="37"/>
      <c r="AM129" s="48"/>
      <c r="AN129" s="37"/>
      <c r="AO129" s="48"/>
      <c r="AP129" s="37"/>
      <c r="AQ129" s="48"/>
      <c r="AR129" s="37"/>
      <c r="AS129" s="48"/>
      <c r="AT129" s="37"/>
      <c r="AU129" s="48"/>
      <c r="AV129" s="37"/>
      <c r="AW129" s="48"/>
      <c r="AX129" s="37"/>
      <c r="AY129" s="48"/>
      <c r="AZ129" s="37"/>
      <c r="BA129" s="48"/>
      <c r="BB129" s="37"/>
      <c r="BC129" s="48"/>
      <c r="BD129" s="37"/>
      <c r="BE129" s="48"/>
      <c r="BF129" s="37"/>
      <c r="BG129" s="48"/>
      <c r="BH129" s="63"/>
      <c r="BI129" s="48"/>
      <c r="BJ129" s="37"/>
      <c r="BK129" s="48"/>
      <c r="BL129" s="37"/>
      <c r="BM129" s="48"/>
      <c r="BN129" s="37"/>
      <c r="BO129" s="48"/>
      <c r="BP129" s="39"/>
      <c r="BQ129" s="48"/>
      <c r="BR129" s="37"/>
      <c r="BS129" s="48"/>
      <c r="BT129" s="37"/>
      <c r="BU129" s="48"/>
      <c r="BV129" s="36"/>
      <c r="BW129" s="48"/>
      <c r="BX129" s="37"/>
      <c r="BY129" s="48"/>
      <c r="BZ129" s="37"/>
      <c r="CA129" s="48"/>
      <c r="CB129" s="37"/>
      <c r="CC129" s="48"/>
      <c r="CD129" s="37"/>
      <c r="CE129" s="48"/>
      <c r="CF129" s="37"/>
      <c r="CG129" s="48"/>
      <c r="CH129" s="37"/>
      <c r="CI129" s="48"/>
      <c r="CJ129" s="36"/>
      <c r="CK129" s="36"/>
      <c r="CL129" s="36"/>
      <c r="CM129" s="36"/>
      <c r="CN129" s="41"/>
      <c r="CO129" s="41"/>
      <c r="CP129" s="42">
        <f t="shared" si="91"/>
        <v>91</v>
      </c>
      <c r="CQ129" s="42">
        <f t="shared" si="91"/>
        <v>2292890.4702144</v>
      </c>
    </row>
    <row r="130" spans="1:95" s="3" customFormat="1" ht="18.75" hidden="1" x14ac:dyDescent="0.25">
      <c r="A130" s="54"/>
      <c r="B130" s="98" t="s">
        <v>347</v>
      </c>
      <c r="C130" s="73" t="s">
        <v>348</v>
      </c>
      <c r="D130" s="99" t="s">
        <v>349</v>
      </c>
      <c r="E130" s="122"/>
      <c r="F130" s="122">
        <v>16828</v>
      </c>
      <c r="G130" s="73">
        <v>1.9</v>
      </c>
      <c r="H130" s="74">
        <v>0.23330000000000001</v>
      </c>
      <c r="I130" s="35">
        <v>1</v>
      </c>
      <c r="J130" s="111"/>
      <c r="K130" s="65"/>
      <c r="L130" s="65">
        <v>1.4</v>
      </c>
      <c r="M130" s="65">
        <v>1.68</v>
      </c>
      <c r="N130" s="97">
        <v>2.23</v>
      </c>
      <c r="O130" s="97">
        <v>2.57</v>
      </c>
      <c r="P130" s="36"/>
      <c r="Q130" s="48"/>
      <c r="R130" s="37"/>
      <c r="S130" s="48"/>
      <c r="T130" s="36"/>
      <c r="U130" s="48"/>
      <c r="V130" s="36">
        <f>29+58</f>
        <v>87</v>
      </c>
      <c r="W130" s="48">
        <f t="shared" si="176"/>
        <v>3041253.6950879996</v>
      </c>
      <c r="X130" s="37"/>
      <c r="Y130" s="48"/>
      <c r="Z130" s="37"/>
      <c r="AA130" s="48"/>
      <c r="AB130" s="37"/>
      <c r="AC130" s="48"/>
      <c r="AD130" s="37"/>
      <c r="AE130" s="48"/>
      <c r="AF130" s="36">
        <f>6+12</f>
        <v>18</v>
      </c>
      <c r="AG130" s="48">
        <f t="shared" si="178"/>
        <v>666820.01413439994</v>
      </c>
      <c r="AH130" s="37"/>
      <c r="AI130" s="48"/>
      <c r="AJ130" s="48">
        <v>0</v>
      </c>
      <c r="AK130" s="48">
        <v>0</v>
      </c>
      <c r="AL130" s="37"/>
      <c r="AM130" s="48"/>
      <c r="AN130" s="37"/>
      <c r="AO130" s="48"/>
      <c r="AP130" s="37"/>
      <c r="AQ130" s="48"/>
      <c r="AR130" s="37"/>
      <c r="AS130" s="48"/>
      <c r="AT130" s="37"/>
      <c r="AU130" s="48"/>
      <c r="AV130" s="37"/>
      <c r="AW130" s="48"/>
      <c r="AX130" s="37"/>
      <c r="AY130" s="48"/>
      <c r="AZ130" s="37"/>
      <c r="BA130" s="48"/>
      <c r="BB130" s="37"/>
      <c r="BC130" s="48"/>
      <c r="BD130" s="37"/>
      <c r="BE130" s="48"/>
      <c r="BF130" s="37"/>
      <c r="BG130" s="48"/>
      <c r="BH130" s="63"/>
      <c r="BI130" s="48"/>
      <c r="BJ130" s="37"/>
      <c r="BK130" s="48"/>
      <c r="BL130" s="37"/>
      <c r="BM130" s="48"/>
      <c r="BN130" s="37"/>
      <c r="BO130" s="48"/>
      <c r="BP130" s="39"/>
      <c r="BQ130" s="48"/>
      <c r="BR130" s="37"/>
      <c r="BS130" s="48"/>
      <c r="BT130" s="37"/>
      <c r="BU130" s="48"/>
      <c r="BV130" s="36"/>
      <c r="BW130" s="48"/>
      <c r="BX130" s="37"/>
      <c r="BY130" s="48"/>
      <c r="BZ130" s="37"/>
      <c r="CA130" s="48"/>
      <c r="CB130" s="37"/>
      <c r="CC130" s="48"/>
      <c r="CD130" s="37"/>
      <c r="CE130" s="48"/>
      <c r="CF130" s="37"/>
      <c r="CG130" s="48"/>
      <c r="CH130" s="37"/>
      <c r="CI130" s="48"/>
      <c r="CJ130" s="36"/>
      <c r="CK130" s="36"/>
      <c r="CL130" s="36"/>
      <c r="CM130" s="36"/>
      <c r="CN130" s="41"/>
      <c r="CO130" s="41"/>
      <c r="CP130" s="42">
        <f t="shared" si="91"/>
        <v>105</v>
      </c>
      <c r="CQ130" s="42">
        <f t="shared" si="91"/>
        <v>3708073.7092223996</v>
      </c>
    </row>
    <row r="131" spans="1:95" s="3" customFormat="1" ht="18.75" hidden="1" x14ac:dyDescent="0.25">
      <c r="A131" s="54"/>
      <c r="B131" s="98" t="s">
        <v>350</v>
      </c>
      <c r="C131" s="73" t="s">
        <v>351</v>
      </c>
      <c r="D131" s="99" t="s">
        <v>352</v>
      </c>
      <c r="E131" s="122"/>
      <c r="F131" s="122">
        <v>16828</v>
      </c>
      <c r="G131" s="73">
        <v>2.88</v>
      </c>
      <c r="H131" s="74">
        <v>0.23330000000000001</v>
      </c>
      <c r="I131" s="35">
        <v>1</v>
      </c>
      <c r="J131" s="111"/>
      <c r="K131" s="65"/>
      <c r="L131" s="65">
        <v>1.4</v>
      </c>
      <c r="M131" s="65">
        <v>1.68</v>
      </c>
      <c r="N131" s="97">
        <v>2.23</v>
      </c>
      <c r="O131" s="97">
        <v>2.57</v>
      </c>
      <c r="P131" s="36"/>
      <c r="Q131" s="48"/>
      <c r="R131" s="37"/>
      <c r="S131" s="48"/>
      <c r="T131" s="36"/>
      <c r="U131" s="48"/>
      <c r="V131" s="36">
        <f>22+28</f>
        <v>50</v>
      </c>
      <c r="W131" s="48">
        <f t="shared" si="176"/>
        <v>2649368.0102399997</v>
      </c>
      <c r="X131" s="37"/>
      <c r="Y131" s="48"/>
      <c r="Z131" s="37"/>
      <c r="AA131" s="48"/>
      <c r="AB131" s="37"/>
      <c r="AC131" s="48"/>
      <c r="AD131" s="37"/>
      <c r="AE131" s="48"/>
      <c r="AF131" s="36">
        <f>2+16</f>
        <v>18</v>
      </c>
      <c r="AG131" s="48">
        <f t="shared" si="178"/>
        <v>1010758.7582668801</v>
      </c>
      <c r="AH131" s="37"/>
      <c r="AI131" s="48"/>
      <c r="AJ131" s="48">
        <v>0</v>
      </c>
      <c r="AK131" s="48">
        <v>0</v>
      </c>
      <c r="AL131" s="37"/>
      <c r="AM131" s="48"/>
      <c r="AN131" s="37"/>
      <c r="AO131" s="48"/>
      <c r="AP131" s="37"/>
      <c r="AQ131" s="48"/>
      <c r="AR131" s="37"/>
      <c r="AS131" s="48"/>
      <c r="AT131" s="37"/>
      <c r="AU131" s="48"/>
      <c r="AV131" s="37"/>
      <c r="AW131" s="48"/>
      <c r="AX131" s="37"/>
      <c r="AY131" s="48"/>
      <c r="AZ131" s="37"/>
      <c r="BA131" s="48"/>
      <c r="BB131" s="37"/>
      <c r="BC131" s="48"/>
      <c r="BD131" s="37"/>
      <c r="BE131" s="48"/>
      <c r="BF131" s="37"/>
      <c r="BG131" s="48"/>
      <c r="BH131" s="63"/>
      <c r="BI131" s="48"/>
      <c r="BJ131" s="37"/>
      <c r="BK131" s="48"/>
      <c r="BL131" s="37"/>
      <c r="BM131" s="48"/>
      <c r="BN131" s="37"/>
      <c r="BO131" s="48"/>
      <c r="BP131" s="39"/>
      <c r="BQ131" s="48"/>
      <c r="BR131" s="37"/>
      <c r="BS131" s="48"/>
      <c r="BT131" s="37"/>
      <c r="BU131" s="48"/>
      <c r="BV131" s="36"/>
      <c r="BW131" s="48"/>
      <c r="BX131" s="37"/>
      <c r="BY131" s="48"/>
      <c r="BZ131" s="37"/>
      <c r="CA131" s="48"/>
      <c r="CB131" s="37"/>
      <c r="CC131" s="48"/>
      <c r="CD131" s="37"/>
      <c r="CE131" s="48"/>
      <c r="CF131" s="37"/>
      <c r="CG131" s="48"/>
      <c r="CH131" s="37"/>
      <c r="CI131" s="48"/>
      <c r="CJ131" s="36"/>
      <c r="CK131" s="36"/>
      <c r="CL131" s="36"/>
      <c r="CM131" s="36"/>
      <c r="CN131" s="41"/>
      <c r="CO131" s="41"/>
      <c r="CP131" s="42">
        <f t="shared" si="91"/>
        <v>68</v>
      </c>
      <c r="CQ131" s="42">
        <f t="shared" si="91"/>
        <v>3660126.7685068799</v>
      </c>
    </row>
    <row r="132" spans="1:95" s="3" customFormat="1" ht="45" hidden="1" customHeight="1" x14ac:dyDescent="0.25">
      <c r="A132" s="54"/>
      <c r="B132" s="54">
        <v>92</v>
      </c>
      <c r="C132" s="73" t="s">
        <v>353</v>
      </c>
      <c r="D132" s="70" t="s">
        <v>354</v>
      </c>
      <c r="E132" s="110">
        <v>16026</v>
      </c>
      <c r="F132" s="110">
        <v>16828</v>
      </c>
      <c r="G132" s="73">
        <v>3.05</v>
      </c>
      <c r="H132" s="62">
        <v>0.435</v>
      </c>
      <c r="I132" s="35">
        <v>1</v>
      </c>
      <c r="J132" s="111"/>
      <c r="K132" s="35"/>
      <c r="L132" s="97">
        <v>1.4</v>
      </c>
      <c r="M132" s="97">
        <v>1.68</v>
      </c>
      <c r="N132" s="97">
        <v>2.23</v>
      </c>
      <c r="O132" s="97">
        <v>2.57</v>
      </c>
      <c r="P132" s="36"/>
      <c r="Q132" s="48">
        <f t="shared" si="150"/>
        <v>0</v>
      </c>
      <c r="R132" s="37"/>
      <c r="S132" s="48">
        <f t="shared" si="151"/>
        <v>0</v>
      </c>
      <c r="T132" s="36"/>
      <c r="U132" s="48">
        <f t="shared" si="152"/>
        <v>0</v>
      </c>
      <c r="V132" s="36">
        <f>15+9</f>
        <v>24</v>
      </c>
      <c r="W132" s="48">
        <f t="shared" si="153"/>
        <v>1434657.5847999998</v>
      </c>
      <c r="X132" s="37"/>
      <c r="Y132" s="48">
        <f t="shared" si="154"/>
        <v>0</v>
      </c>
      <c r="Z132" s="37"/>
      <c r="AA132" s="48">
        <f t="shared" si="155"/>
        <v>0</v>
      </c>
      <c r="AB132" s="37"/>
      <c r="AC132" s="48"/>
      <c r="AD132" s="37">
        <v>0</v>
      </c>
      <c r="AE132" s="48">
        <f t="shared" si="156"/>
        <v>0</v>
      </c>
      <c r="AF132" s="36"/>
      <c r="AG132" s="48">
        <f t="shared" si="157"/>
        <v>0</v>
      </c>
      <c r="AH132" s="37"/>
      <c r="AI132" s="48">
        <f t="shared" si="158"/>
        <v>0</v>
      </c>
      <c r="AJ132" s="48">
        <v>0</v>
      </c>
      <c r="AK132" s="48">
        <v>0</v>
      </c>
      <c r="AL132" s="37"/>
      <c r="AM132" s="48">
        <f t="shared" si="159"/>
        <v>0</v>
      </c>
      <c r="AN132" s="37"/>
      <c r="AO132" s="48">
        <f t="shared" si="160"/>
        <v>0</v>
      </c>
      <c r="AP132" s="37"/>
      <c r="AQ132" s="48"/>
      <c r="AR132" s="37"/>
      <c r="AS132" s="48"/>
      <c r="AT132" s="37"/>
      <c r="AU132" s="48"/>
      <c r="AV132" s="37"/>
      <c r="AW132" s="48"/>
      <c r="AX132" s="37"/>
      <c r="AY132" s="48"/>
      <c r="AZ132" s="37"/>
      <c r="BA132" s="48"/>
      <c r="BB132" s="37"/>
      <c r="BC132" s="48"/>
      <c r="BD132" s="37"/>
      <c r="BE132" s="48">
        <f t="shared" si="161"/>
        <v>0</v>
      </c>
      <c r="BF132" s="37"/>
      <c r="BG132" s="48">
        <f t="shared" si="162"/>
        <v>0</v>
      </c>
      <c r="BH132" s="63"/>
      <c r="BI132" s="48">
        <f t="shared" si="163"/>
        <v>0</v>
      </c>
      <c r="BJ132" s="37"/>
      <c r="BK132" s="48">
        <f t="shared" si="164"/>
        <v>0</v>
      </c>
      <c r="BL132" s="37"/>
      <c r="BM132" s="48">
        <f t="shared" si="165"/>
        <v>0</v>
      </c>
      <c r="BN132" s="37"/>
      <c r="BO132" s="48">
        <f t="shared" si="166"/>
        <v>0</v>
      </c>
      <c r="BP132" s="39"/>
      <c r="BQ132" s="48"/>
      <c r="BR132" s="37"/>
      <c r="BS132" s="48">
        <f t="shared" si="167"/>
        <v>0</v>
      </c>
      <c r="BT132" s="37"/>
      <c r="BU132" s="48">
        <f t="shared" si="168"/>
        <v>0</v>
      </c>
      <c r="BV132" s="36"/>
      <c r="BW132" s="48">
        <f t="shared" si="169"/>
        <v>0</v>
      </c>
      <c r="BX132" s="37"/>
      <c r="BY132" s="48">
        <f t="shared" si="170"/>
        <v>0</v>
      </c>
      <c r="BZ132" s="37"/>
      <c r="CA132" s="48">
        <f t="shared" si="171"/>
        <v>0</v>
      </c>
      <c r="CB132" s="37"/>
      <c r="CC132" s="48">
        <f t="shared" si="172"/>
        <v>0</v>
      </c>
      <c r="CD132" s="37"/>
      <c r="CE132" s="48">
        <f t="shared" si="173"/>
        <v>0</v>
      </c>
      <c r="CF132" s="37"/>
      <c r="CG132" s="48">
        <f t="shared" si="174"/>
        <v>0</v>
      </c>
      <c r="CH132" s="37"/>
      <c r="CI132" s="48">
        <f t="shared" si="175"/>
        <v>0</v>
      </c>
      <c r="CJ132" s="36"/>
      <c r="CK132" s="36"/>
      <c r="CL132" s="36"/>
      <c r="CM132" s="36"/>
      <c r="CN132" s="41"/>
      <c r="CO132" s="41"/>
      <c r="CP132" s="42">
        <f t="shared" si="91"/>
        <v>24</v>
      </c>
      <c r="CQ132" s="42">
        <f t="shared" si="91"/>
        <v>1434657.5847999998</v>
      </c>
    </row>
    <row r="133" spans="1:95" s="3" customFormat="1" ht="18.75" hidden="1" customHeight="1" x14ac:dyDescent="0.25">
      <c r="A133" s="54"/>
      <c r="B133" s="98" t="s">
        <v>355</v>
      </c>
      <c r="C133" s="73" t="s">
        <v>356</v>
      </c>
      <c r="D133" s="99" t="s">
        <v>357</v>
      </c>
      <c r="E133" s="122"/>
      <c r="F133" s="122">
        <v>16828</v>
      </c>
      <c r="G133" s="73">
        <v>1.69</v>
      </c>
      <c r="H133" s="74">
        <v>0.435</v>
      </c>
      <c r="I133" s="35">
        <v>1</v>
      </c>
      <c r="J133" s="111"/>
      <c r="K133" s="65"/>
      <c r="L133" s="65">
        <v>1.4</v>
      </c>
      <c r="M133" s="65">
        <v>1.68</v>
      </c>
      <c r="N133" s="97">
        <v>2.23</v>
      </c>
      <c r="O133" s="97">
        <v>2.57</v>
      </c>
      <c r="P133" s="36"/>
      <c r="Q133" s="48"/>
      <c r="R133" s="37"/>
      <c r="S133" s="48"/>
      <c r="T133" s="36"/>
      <c r="U133" s="48"/>
      <c r="V133" s="36">
        <f>20-8</f>
        <v>12</v>
      </c>
      <c r="W133" s="48">
        <f t="shared" si="176"/>
        <v>400653.14015999995</v>
      </c>
      <c r="X133" s="37"/>
      <c r="Y133" s="48"/>
      <c r="Z133" s="37"/>
      <c r="AA133" s="48"/>
      <c r="AB133" s="37"/>
      <c r="AC133" s="48"/>
      <c r="AD133" s="37"/>
      <c r="AE133" s="48"/>
      <c r="AF133" s="36"/>
      <c r="AG133" s="48"/>
      <c r="AH133" s="37"/>
      <c r="AI133" s="48"/>
      <c r="AJ133" s="48">
        <v>0</v>
      </c>
      <c r="AK133" s="48">
        <v>0</v>
      </c>
      <c r="AL133" s="37"/>
      <c r="AM133" s="48"/>
      <c r="AN133" s="37"/>
      <c r="AO133" s="48"/>
      <c r="AP133" s="37"/>
      <c r="AQ133" s="48"/>
      <c r="AR133" s="37"/>
      <c r="AS133" s="48"/>
      <c r="AT133" s="37"/>
      <c r="AU133" s="48"/>
      <c r="AV133" s="37"/>
      <c r="AW133" s="48"/>
      <c r="AX133" s="37"/>
      <c r="AY133" s="48"/>
      <c r="AZ133" s="37"/>
      <c r="BA133" s="48"/>
      <c r="BB133" s="37"/>
      <c r="BC133" s="48"/>
      <c r="BD133" s="37"/>
      <c r="BE133" s="48"/>
      <c r="BF133" s="37"/>
      <c r="BG133" s="48"/>
      <c r="BH133" s="63"/>
      <c r="BI133" s="48"/>
      <c r="BJ133" s="37"/>
      <c r="BK133" s="48"/>
      <c r="BL133" s="37"/>
      <c r="BM133" s="48"/>
      <c r="BN133" s="37"/>
      <c r="BO133" s="48"/>
      <c r="BP133" s="39"/>
      <c r="BQ133" s="48"/>
      <c r="BR133" s="37"/>
      <c r="BS133" s="48"/>
      <c r="BT133" s="37"/>
      <c r="BU133" s="48"/>
      <c r="BV133" s="36"/>
      <c r="BW133" s="48"/>
      <c r="BX133" s="37"/>
      <c r="BY133" s="48"/>
      <c r="BZ133" s="37"/>
      <c r="CA133" s="48"/>
      <c r="CB133" s="37"/>
      <c r="CC133" s="48"/>
      <c r="CD133" s="37"/>
      <c r="CE133" s="48"/>
      <c r="CF133" s="37"/>
      <c r="CG133" s="48"/>
      <c r="CH133" s="37"/>
      <c r="CI133" s="48"/>
      <c r="CJ133" s="36"/>
      <c r="CK133" s="36"/>
      <c r="CL133" s="36"/>
      <c r="CM133" s="36"/>
      <c r="CN133" s="41"/>
      <c r="CO133" s="41"/>
      <c r="CP133" s="42">
        <f t="shared" si="91"/>
        <v>12</v>
      </c>
      <c r="CQ133" s="42">
        <f t="shared" si="91"/>
        <v>400653.14015999995</v>
      </c>
    </row>
    <row r="134" spans="1:95" s="3" customFormat="1" ht="18.75" hidden="1" customHeight="1" x14ac:dyDescent="0.25">
      <c r="A134" s="54"/>
      <c r="B134" s="98" t="s">
        <v>358</v>
      </c>
      <c r="C134" s="73" t="s">
        <v>359</v>
      </c>
      <c r="D134" s="99" t="s">
        <v>360</v>
      </c>
      <c r="E134" s="122"/>
      <c r="F134" s="122">
        <v>16828</v>
      </c>
      <c r="G134" s="73">
        <v>3.05</v>
      </c>
      <c r="H134" s="74">
        <v>0.435</v>
      </c>
      <c r="I134" s="35">
        <v>1</v>
      </c>
      <c r="J134" s="111"/>
      <c r="K134" s="65"/>
      <c r="L134" s="65">
        <v>1.4</v>
      </c>
      <c r="M134" s="65">
        <v>1.68</v>
      </c>
      <c r="N134" s="97">
        <v>2.23</v>
      </c>
      <c r="O134" s="97">
        <v>2.57</v>
      </c>
      <c r="P134" s="36"/>
      <c r="Q134" s="48"/>
      <c r="R134" s="37"/>
      <c r="S134" s="48"/>
      <c r="T134" s="36"/>
      <c r="U134" s="48"/>
      <c r="V134" s="36">
        <f>32-5</f>
        <v>27</v>
      </c>
      <c r="W134" s="48">
        <f t="shared" si="176"/>
        <v>1626912.5291999998</v>
      </c>
      <c r="X134" s="37"/>
      <c r="Y134" s="48"/>
      <c r="Z134" s="37"/>
      <c r="AA134" s="48"/>
      <c r="AB134" s="37"/>
      <c r="AC134" s="48"/>
      <c r="AD134" s="37"/>
      <c r="AE134" s="48"/>
      <c r="AF134" s="36"/>
      <c r="AG134" s="48"/>
      <c r="AH134" s="37"/>
      <c r="AI134" s="48"/>
      <c r="AJ134" s="48">
        <v>0</v>
      </c>
      <c r="AK134" s="48">
        <v>0</v>
      </c>
      <c r="AL134" s="37"/>
      <c r="AM134" s="48"/>
      <c r="AN134" s="37"/>
      <c r="AO134" s="48"/>
      <c r="AP134" s="37"/>
      <c r="AQ134" s="48"/>
      <c r="AR134" s="37"/>
      <c r="AS134" s="48"/>
      <c r="AT134" s="37"/>
      <c r="AU134" s="48"/>
      <c r="AV134" s="37"/>
      <c r="AW134" s="48"/>
      <c r="AX134" s="37"/>
      <c r="AY134" s="48"/>
      <c r="AZ134" s="37"/>
      <c r="BA134" s="48"/>
      <c r="BB134" s="37"/>
      <c r="BC134" s="48"/>
      <c r="BD134" s="37"/>
      <c r="BE134" s="48"/>
      <c r="BF134" s="37"/>
      <c r="BG134" s="48"/>
      <c r="BH134" s="63"/>
      <c r="BI134" s="48"/>
      <c r="BJ134" s="37"/>
      <c r="BK134" s="48"/>
      <c r="BL134" s="37"/>
      <c r="BM134" s="48"/>
      <c r="BN134" s="37"/>
      <c r="BO134" s="48"/>
      <c r="BP134" s="39"/>
      <c r="BQ134" s="48"/>
      <c r="BR134" s="37"/>
      <c r="BS134" s="48"/>
      <c r="BT134" s="37"/>
      <c r="BU134" s="48"/>
      <c r="BV134" s="36"/>
      <c r="BW134" s="48"/>
      <c r="BX134" s="37"/>
      <c r="BY134" s="48"/>
      <c r="BZ134" s="37"/>
      <c r="CA134" s="48"/>
      <c r="CB134" s="37"/>
      <c r="CC134" s="48"/>
      <c r="CD134" s="37"/>
      <c r="CE134" s="48"/>
      <c r="CF134" s="37"/>
      <c r="CG134" s="48"/>
      <c r="CH134" s="37"/>
      <c r="CI134" s="48"/>
      <c r="CJ134" s="36"/>
      <c r="CK134" s="36"/>
      <c r="CL134" s="36"/>
      <c r="CM134" s="36"/>
      <c r="CN134" s="41"/>
      <c r="CO134" s="41"/>
      <c r="CP134" s="42">
        <f t="shared" si="91"/>
        <v>27</v>
      </c>
      <c r="CQ134" s="42">
        <f t="shared" si="91"/>
        <v>1626912.5291999998</v>
      </c>
    </row>
    <row r="135" spans="1:95" s="3" customFormat="1" ht="18.75" hidden="1" customHeight="1" x14ac:dyDescent="0.25">
      <c r="A135" s="54"/>
      <c r="B135" s="98" t="s">
        <v>361</v>
      </c>
      <c r="C135" s="73" t="s">
        <v>362</v>
      </c>
      <c r="D135" s="99" t="s">
        <v>363</v>
      </c>
      <c r="E135" s="122"/>
      <c r="F135" s="122">
        <v>16828</v>
      </c>
      <c r="G135" s="73">
        <v>4.3600000000000003</v>
      </c>
      <c r="H135" s="74">
        <v>0.435</v>
      </c>
      <c r="I135" s="35">
        <v>1</v>
      </c>
      <c r="J135" s="111"/>
      <c r="K135" s="65"/>
      <c r="L135" s="65">
        <v>1.4</v>
      </c>
      <c r="M135" s="65">
        <v>1.68</v>
      </c>
      <c r="N135" s="97">
        <v>2.23</v>
      </c>
      <c r="O135" s="97">
        <v>2.57</v>
      </c>
      <c r="P135" s="36"/>
      <c r="Q135" s="48"/>
      <c r="R135" s="37"/>
      <c r="S135" s="48"/>
      <c r="T135" s="36"/>
      <c r="U135" s="48"/>
      <c r="V135" s="36">
        <f>21-9</f>
        <v>12</v>
      </c>
      <c r="W135" s="48">
        <f t="shared" si="176"/>
        <v>1033637.68704</v>
      </c>
      <c r="X135" s="37"/>
      <c r="Y135" s="48"/>
      <c r="Z135" s="37"/>
      <c r="AA135" s="48"/>
      <c r="AB135" s="37"/>
      <c r="AC135" s="48"/>
      <c r="AD135" s="37"/>
      <c r="AE135" s="48"/>
      <c r="AF135" s="36"/>
      <c r="AG135" s="48"/>
      <c r="AH135" s="37"/>
      <c r="AI135" s="48"/>
      <c r="AJ135" s="48">
        <v>0</v>
      </c>
      <c r="AK135" s="48">
        <v>0</v>
      </c>
      <c r="AL135" s="37"/>
      <c r="AM135" s="48"/>
      <c r="AN135" s="37"/>
      <c r="AO135" s="48"/>
      <c r="AP135" s="37"/>
      <c r="AQ135" s="48"/>
      <c r="AR135" s="37"/>
      <c r="AS135" s="48"/>
      <c r="AT135" s="37"/>
      <c r="AU135" s="48"/>
      <c r="AV135" s="37"/>
      <c r="AW135" s="48"/>
      <c r="AX135" s="37"/>
      <c r="AY135" s="48"/>
      <c r="AZ135" s="37"/>
      <c r="BA135" s="48"/>
      <c r="BB135" s="37"/>
      <c r="BC135" s="48"/>
      <c r="BD135" s="37"/>
      <c r="BE135" s="48"/>
      <c r="BF135" s="37"/>
      <c r="BG135" s="48"/>
      <c r="BH135" s="63"/>
      <c r="BI135" s="48"/>
      <c r="BJ135" s="37"/>
      <c r="BK135" s="48"/>
      <c r="BL135" s="37"/>
      <c r="BM135" s="48"/>
      <c r="BN135" s="37"/>
      <c r="BO135" s="48"/>
      <c r="BP135" s="39"/>
      <c r="BQ135" s="48"/>
      <c r="BR135" s="37"/>
      <c r="BS135" s="48"/>
      <c r="BT135" s="37"/>
      <c r="BU135" s="48"/>
      <c r="BV135" s="36"/>
      <c r="BW135" s="48"/>
      <c r="BX135" s="37"/>
      <c r="BY135" s="48"/>
      <c r="BZ135" s="37"/>
      <c r="CA135" s="48"/>
      <c r="CB135" s="37"/>
      <c r="CC135" s="48"/>
      <c r="CD135" s="37"/>
      <c r="CE135" s="48"/>
      <c r="CF135" s="37"/>
      <c r="CG135" s="48"/>
      <c r="CH135" s="37"/>
      <c r="CI135" s="48"/>
      <c r="CJ135" s="36"/>
      <c r="CK135" s="36"/>
      <c r="CL135" s="36"/>
      <c r="CM135" s="36"/>
      <c r="CN135" s="41"/>
      <c r="CO135" s="41"/>
      <c r="CP135" s="42">
        <f t="shared" si="91"/>
        <v>12</v>
      </c>
      <c r="CQ135" s="42">
        <f t="shared" si="91"/>
        <v>1033637.68704</v>
      </c>
    </row>
    <row r="136" spans="1:95" s="3" customFormat="1" ht="45" hidden="1" customHeight="1" x14ac:dyDescent="0.25">
      <c r="A136" s="54"/>
      <c r="B136" s="54">
        <v>93</v>
      </c>
      <c r="C136" s="73" t="s">
        <v>364</v>
      </c>
      <c r="D136" s="70" t="s">
        <v>365</v>
      </c>
      <c r="E136" s="110">
        <v>16026</v>
      </c>
      <c r="F136" s="110">
        <v>16828</v>
      </c>
      <c r="G136" s="73">
        <v>3.82</v>
      </c>
      <c r="H136" s="62">
        <v>0.1053</v>
      </c>
      <c r="I136" s="35">
        <v>1</v>
      </c>
      <c r="J136" s="111"/>
      <c r="K136" s="35"/>
      <c r="L136" s="97">
        <v>1.4</v>
      </c>
      <c r="M136" s="97">
        <v>1.68</v>
      </c>
      <c r="N136" s="97">
        <v>2.23</v>
      </c>
      <c r="O136" s="97">
        <v>2.57</v>
      </c>
      <c r="P136" s="36"/>
      <c r="Q136" s="48">
        <f t="shared" si="150"/>
        <v>0</v>
      </c>
      <c r="R136" s="37"/>
      <c r="S136" s="48">
        <f t="shared" si="151"/>
        <v>0</v>
      </c>
      <c r="T136" s="36"/>
      <c r="U136" s="48">
        <f t="shared" si="152"/>
        <v>0</v>
      </c>
      <c r="V136" s="36">
        <f>39+8</f>
        <v>47</v>
      </c>
      <c r="W136" s="48">
        <f t="shared" si="153"/>
        <v>3123546.9082194669</v>
      </c>
      <c r="X136" s="37"/>
      <c r="Y136" s="48">
        <f t="shared" si="154"/>
        <v>0</v>
      </c>
      <c r="Z136" s="37"/>
      <c r="AA136" s="48">
        <f t="shared" si="155"/>
        <v>0</v>
      </c>
      <c r="AB136" s="37"/>
      <c r="AC136" s="48"/>
      <c r="AD136" s="37">
        <v>0</v>
      </c>
      <c r="AE136" s="48">
        <f t="shared" si="156"/>
        <v>0</v>
      </c>
      <c r="AF136" s="36">
        <v>1</v>
      </c>
      <c r="AG136" s="48">
        <f t="shared" si="157"/>
        <v>68338.708921413316</v>
      </c>
      <c r="AH136" s="37"/>
      <c r="AI136" s="48">
        <f t="shared" si="158"/>
        <v>0</v>
      </c>
      <c r="AJ136" s="48">
        <v>0</v>
      </c>
      <c r="AK136" s="48">
        <v>0</v>
      </c>
      <c r="AL136" s="37"/>
      <c r="AM136" s="48">
        <f t="shared" si="159"/>
        <v>0</v>
      </c>
      <c r="AN136" s="37"/>
      <c r="AO136" s="48">
        <f t="shared" si="160"/>
        <v>0</v>
      </c>
      <c r="AP136" s="37"/>
      <c r="AQ136" s="48"/>
      <c r="AR136" s="37"/>
      <c r="AS136" s="48"/>
      <c r="AT136" s="37"/>
      <c r="AU136" s="48"/>
      <c r="AV136" s="37"/>
      <c r="AW136" s="48"/>
      <c r="AX136" s="37"/>
      <c r="AY136" s="48"/>
      <c r="AZ136" s="37"/>
      <c r="BA136" s="48"/>
      <c r="BB136" s="37"/>
      <c r="BC136" s="48"/>
      <c r="BD136" s="37"/>
      <c r="BE136" s="48">
        <f t="shared" si="161"/>
        <v>0</v>
      </c>
      <c r="BF136" s="37"/>
      <c r="BG136" s="48">
        <f t="shared" si="162"/>
        <v>0</v>
      </c>
      <c r="BH136" s="63"/>
      <c r="BI136" s="48">
        <f t="shared" si="163"/>
        <v>0</v>
      </c>
      <c r="BJ136" s="37"/>
      <c r="BK136" s="48">
        <f t="shared" si="164"/>
        <v>0</v>
      </c>
      <c r="BL136" s="37"/>
      <c r="BM136" s="48">
        <f t="shared" si="165"/>
        <v>0</v>
      </c>
      <c r="BN136" s="37"/>
      <c r="BO136" s="48">
        <f t="shared" si="166"/>
        <v>0</v>
      </c>
      <c r="BP136" s="39"/>
      <c r="BQ136" s="48"/>
      <c r="BR136" s="37"/>
      <c r="BS136" s="48">
        <f t="shared" si="167"/>
        <v>0</v>
      </c>
      <c r="BT136" s="37"/>
      <c r="BU136" s="48">
        <f t="shared" si="168"/>
        <v>0</v>
      </c>
      <c r="BV136" s="36"/>
      <c r="BW136" s="48">
        <f t="shared" si="169"/>
        <v>0</v>
      </c>
      <c r="BX136" s="37"/>
      <c r="BY136" s="48">
        <f t="shared" si="170"/>
        <v>0</v>
      </c>
      <c r="BZ136" s="37"/>
      <c r="CA136" s="48">
        <f t="shared" si="171"/>
        <v>0</v>
      </c>
      <c r="CB136" s="37"/>
      <c r="CC136" s="48">
        <f t="shared" si="172"/>
        <v>0</v>
      </c>
      <c r="CD136" s="37"/>
      <c r="CE136" s="48">
        <f t="shared" si="173"/>
        <v>0</v>
      </c>
      <c r="CF136" s="37"/>
      <c r="CG136" s="48">
        <f t="shared" si="174"/>
        <v>0</v>
      </c>
      <c r="CH136" s="37"/>
      <c r="CI136" s="48">
        <f t="shared" si="175"/>
        <v>0</v>
      </c>
      <c r="CJ136" s="36"/>
      <c r="CK136" s="36"/>
      <c r="CL136" s="36"/>
      <c r="CM136" s="36"/>
      <c r="CN136" s="41"/>
      <c r="CO136" s="41"/>
      <c r="CP136" s="42">
        <f t="shared" si="91"/>
        <v>48</v>
      </c>
      <c r="CQ136" s="42">
        <f t="shared" si="91"/>
        <v>3191885.6171408803</v>
      </c>
    </row>
    <row r="137" spans="1:95" s="3" customFormat="1" ht="18.75" hidden="1" customHeight="1" x14ac:dyDescent="0.25">
      <c r="A137" s="54"/>
      <c r="B137" s="98" t="s">
        <v>366</v>
      </c>
      <c r="C137" s="73" t="s">
        <v>367</v>
      </c>
      <c r="D137" s="99" t="s">
        <v>368</v>
      </c>
      <c r="E137" s="122"/>
      <c r="F137" s="122">
        <v>16828</v>
      </c>
      <c r="G137" s="73">
        <v>2.87</v>
      </c>
      <c r="H137" s="74">
        <v>0.1053</v>
      </c>
      <c r="I137" s="35">
        <v>1</v>
      </c>
      <c r="J137" s="111"/>
      <c r="K137" s="65"/>
      <c r="L137" s="65">
        <v>1.4</v>
      </c>
      <c r="M137" s="65">
        <v>1.68</v>
      </c>
      <c r="N137" s="97">
        <v>2.23</v>
      </c>
      <c r="O137" s="97">
        <v>2.57</v>
      </c>
      <c r="P137" s="36"/>
      <c r="Q137" s="48"/>
      <c r="R137" s="37"/>
      <c r="S137" s="48"/>
      <c r="T137" s="36"/>
      <c r="U137" s="48"/>
      <c r="V137" s="36">
        <f>45-13</f>
        <v>32</v>
      </c>
      <c r="W137" s="48">
        <f t="shared" si="176"/>
        <v>1610579.2858624002</v>
      </c>
      <c r="X137" s="37"/>
      <c r="Y137" s="48"/>
      <c r="Z137" s="37"/>
      <c r="AA137" s="48"/>
      <c r="AB137" s="37"/>
      <c r="AC137" s="48"/>
      <c r="AD137" s="37"/>
      <c r="AE137" s="48"/>
      <c r="AF137" s="36">
        <v>2</v>
      </c>
      <c r="AG137" s="48">
        <f t="shared" ref="AG137:AG139" si="179">(AF137*$F137*$G137*((1-$H137)+$H137*$M137*$I137))</f>
        <v>103509.14512288</v>
      </c>
      <c r="AH137" s="37"/>
      <c r="AI137" s="48"/>
      <c r="AJ137" s="48">
        <v>0</v>
      </c>
      <c r="AK137" s="48">
        <v>0</v>
      </c>
      <c r="AL137" s="37"/>
      <c r="AM137" s="48"/>
      <c r="AN137" s="37"/>
      <c r="AO137" s="48"/>
      <c r="AP137" s="37"/>
      <c r="AQ137" s="48"/>
      <c r="AR137" s="37"/>
      <c r="AS137" s="48"/>
      <c r="AT137" s="37"/>
      <c r="AU137" s="48"/>
      <c r="AV137" s="37"/>
      <c r="AW137" s="48"/>
      <c r="AX137" s="37"/>
      <c r="AY137" s="48"/>
      <c r="AZ137" s="37"/>
      <c r="BA137" s="48"/>
      <c r="BB137" s="37"/>
      <c r="BC137" s="48"/>
      <c r="BD137" s="37"/>
      <c r="BE137" s="48"/>
      <c r="BF137" s="37"/>
      <c r="BG137" s="48"/>
      <c r="BH137" s="63"/>
      <c r="BI137" s="48"/>
      <c r="BJ137" s="37"/>
      <c r="BK137" s="48"/>
      <c r="BL137" s="37"/>
      <c r="BM137" s="48"/>
      <c r="BN137" s="37"/>
      <c r="BO137" s="48"/>
      <c r="BP137" s="39"/>
      <c r="BQ137" s="48"/>
      <c r="BR137" s="37"/>
      <c r="BS137" s="48"/>
      <c r="BT137" s="37"/>
      <c r="BU137" s="48"/>
      <c r="BV137" s="36"/>
      <c r="BW137" s="48"/>
      <c r="BX137" s="37"/>
      <c r="BY137" s="48"/>
      <c r="BZ137" s="37"/>
      <c r="CA137" s="48"/>
      <c r="CB137" s="37"/>
      <c r="CC137" s="48"/>
      <c r="CD137" s="37"/>
      <c r="CE137" s="48"/>
      <c r="CF137" s="37"/>
      <c r="CG137" s="48"/>
      <c r="CH137" s="37"/>
      <c r="CI137" s="48"/>
      <c r="CJ137" s="36"/>
      <c r="CK137" s="36"/>
      <c r="CL137" s="36"/>
      <c r="CM137" s="36"/>
      <c r="CN137" s="41"/>
      <c r="CO137" s="41"/>
      <c r="CP137" s="42">
        <f t="shared" si="91"/>
        <v>34</v>
      </c>
      <c r="CQ137" s="42">
        <f t="shared" si="91"/>
        <v>1714088.4309852803</v>
      </c>
    </row>
    <row r="138" spans="1:95" s="3" customFormat="1" ht="18.75" hidden="1" customHeight="1" x14ac:dyDescent="0.25">
      <c r="A138" s="54"/>
      <c r="B138" s="98" t="s">
        <v>369</v>
      </c>
      <c r="C138" s="73" t="s">
        <v>370</v>
      </c>
      <c r="D138" s="99" t="s">
        <v>371</v>
      </c>
      <c r="E138" s="122"/>
      <c r="F138" s="122">
        <v>16828</v>
      </c>
      <c r="G138" s="73">
        <v>3.78</v>
      </c>
      <c r="H138" s="74">
        <v>0.1053</v>
      </c>
      <c r="I138" s="35">
        <v>1</v>
      </c>
      <c r="J138" s="111"/>
      <c r="K138" s="65"/>
      <c r="L138" s="65">
        <v>1.4</v>
      </c>
      <c r="M138" s="65">
        <v>1.68</v>
      </c>
      <c r="N138" s="97">
        <v>2.23</v>
      </c>
      <c r="O138" s="97">
        <v>2.57</v>
      </c>
      <c r="P138" s="36"/>
      <c r="Q138" s="48"/>
      <c r="R138" s="37"/>
      <c r="S138" s="48"/>
      <c r="T138" s="36"/>
      <c r="U138" s="48"/>
      <c r="V138" s="36">
        <f>61-10</f>
        <v>51</v>
      </c>
      <c r="W138" s="48">
        <f t="shared" si="176"/>
        <v>3380743.4095008005</v>
      </c>
      <c r="X138" s="37"/>
      <c r="Y138" s="48"/>
      <c r="Z138" s="37"/>
      <c r="AA138" s="48"/>
      <c r="AB138" s="37"/>
      <c r="AC138" s="48"/>
      <c r="AD138" s="37"/>
      <c r="AE138" s="48"/>
      <c r="AF138" s="36">
        <v>2</v>
      </c>
      <c r="AG138" s="48">
        <f t="shared" si="179"/>
        <v>136329.11796671999</v>
      </c>
      <c r="AH138" s="37"/>
      <c r="AI138" s="48"/>
      <c r="AJ138" s="48">
        <v>0</v>
      </c>
      <c r="AK138" s="48">
        <v>0</v>
      </c>
      <c r="AL138" s="37"/>
      <c r="AM138" s="48"/>
      <c r="AN138" s="37"/>
      <c r="AO138" s="48"/>
      <c r="AP138" s="37"/>
      <c r="AQ138" s="48"/>
      <c r="AR138" s="37"/>
      <c r="AS138" s="48"/>
      <c r="AT138" s="37"/>
      <c r="AU138" s="48"/>
      <c r="AV138" s="37"/>
      <c r="AW138" s="48"/>
      <c r="AX138" s="37"/>
      <c r="AY138" s="48"/>
      <c r="AZ138" s="37"/>
      <c r="BA138" s="48"/>
      <c r="BB138" s="37"/>
      <c r="BC138" s="48"/>
      <c r="BD138" s="37"/>
      <c r="BE138" s="48"/>
      <c r="BF138" s="37"/>
      <c r="BG138" s="48"/>
      <c r="BH138" s="63"/>
      <c r="BI138" s="48"/>
      <c r="BJ138" s="37"/>
      <c r="BK138" s="48"/>
      <c r="BL138" s="37"/>
      <c r="BM138" s="48"/>
      <c r="BN138" s="37"/>
      <c r="BO138" s="48"/>
      <c r="BP138" s="39"/>
      <c r="BQ138" s="48"/>
      <c r="BR138" s="37"/>
      <c r="BS138" s="48"/>
      <c r="BT138" s="37"/>
      <c r="BU138" s="48"/>
      <c r="BV138" s="36"/>
      <c r="BW138" s="48"/>
      <c r="BX138" s="37"/>
      <c r="BY138" s="48"/>
      <c r="BZ138" s="37"/>
      <c r="CA138" s="48"/>
      <c r="CB138" s="37"/>
      <c r="CC138" s="48"/>
      <c r="CD138" s="37"/>
      <c r="CE138" s="48"/>
      <c r="CF138" s="37"/>
      <c r="CG138" s="48"/>
      <c r="CH138" s="37"/>
      <c r="CI138" s="48"/>
      <c r="CJ138" s="36"/>
      <c r="CK138" s="36"/>
      <c r="CL138" s="36"/>
      <c r="CM138" s="36"/>
      <c r="CN138" s="41"/>
      <c r="CO138" s="41"/>
      <c r="CP138" s="42">
        <f t="shared" si="91"/>
        <v>53</v>
      </c>
      <c r="CQ138" s="42">
        <f t="shared" si="91"/>
        <v>3517072.5274675204</v>
      </c>
    </row>
    <row r="139" spans="1:95" s="3" customFormat="1" ht="18.75" hidden="1" customHeight="1" x14ac:dyDescent="0.25">
      <c r="A139" s="54"/>
      <c r="B139" s="98" t="s">
        <v>372</v>
      </c>
      <c r="C139" s="73" t="s">
        <v>373</v>
      </c>
      <c r="D139" s="99" t="s">
        <v>374</v>
      </c>
      <c r="E139" s="122"/>
      <c r="F139" s="122">
        <v>16828</v>
      </c>
      <c r="G139" s="73">
        <v>5.24</v>
      </c>
      <c r="H139" s="74">
        <v>0.1053</v>
      </c>
      <c r="I139" s="35">
        <v>1</v>
      </c>
      <c r="J139" s="111"/>
      <c r="K139" s="65"/>
      <c r="L139" s="65">
        <v>1.4</v>
      </c>
      <c r="M139" s="65">
        <v>1.68</v>
      </c>
      <c r="N139" s="97">
        <v>2.23</v>
      </c>
      <c r="O139" s="97">
        <v>2.57</v>
      </c>
      <c r="P139" s="36"/>
      <c r="Q139" s="48"/>
      <c r="R139" s="37"/>
      <c r="S139" s="48"/>
      <c r="T139" s="36"/>
      <c r="U139" s="48"/>
      <c r="V139" s="36">
        <f>32-10</f>
        <v>22</v>
      </c>
      <c r="W139" s="48">
        <f t="shared" si="176"/>
        <v>2021641.7691008004</v>
      </c>
      <c r="X139" s="37"/>
      <c r="Y139" s="48"/>
      <c r="Z139" s="37"/>
      <c r="AA139" s="48"/>
      <c r="AB139" s="37"/>
      <c r="AC139" s="48"/>
      <c r="AD139" s="37"/>
      <c r="AE139" s="48"/>
      <c r="AF139" s="36">
        <v>2</v>
      </c>
      <c r="AG139" s="48">
        <f t="shared" si="179"/>
        <v>188985.33813376</v>
      </c>
      <c r="AH139" s="37"/>
      <c r="AI139" s="48"/>
      <c r="AJ139" s="48">
        <v>0</v>
      </c>
      <c r="AK139" s="48">
        <v>0</v>
      </c>
      <c r="AL139" s="37"/>
      <c r="AM139" s="48"/>
      <c r="AN139" s="37"/>
      <c r="AO139" s="48"/>
      <c r="AP139" s="37"/>
      <c r="AQ139" s="48"/>
      <c r="AR139" s="37"/>
      <c r="AS139" s="48"/>
      <c r="AT139" s="37"/>
      <c r="AU139" s="48"/>
      <c r="AV139" s="37"/>
      <c r="AW139" s="48"/>
      <c r="AX139" s="37"/>
      <c r="AY139" s="48"/>
      <c r="AZ139" s="37"/>
      <c r="BA139" s="48"/>
      <c r="BB139" s="37"/>
      <c r="BC139" s="48"/>
      <c r="BD139" s="37"/>
      <c r="BE139" s="48"/>
      <c r="BF139" s="37"/>
      <c r="BG139" s="48"/>
      <c r="BH139" s="63"/>
      <c r="BI139" s="48"/>
      <c r="BJ139" s="37"/>
      <c r="BK139" s="48"/>
      <c r="BL139" s="37"/>
      <c r="BM139" s="48"/>
      <c r="BN139" s="37"/>
      <c r="BO139" s="48"/>
      <c r="BP139" s="39"/>
      <c r="BQ139" s="48"/>
      <c r="BR139" s="37"/>
      <c r="BS139" s="48"/>
      <c r="BT139" s="37"/>
      <c r="BU139" s="48"/>
      <c r="BV139" s="36"/>
      <c r="BW139" s="48"/>
      <c r="BX139" s="37"/>
      <c r="BY139" s="48"/>
      <c r="BZ139" s="37"/>
      <c r="CA139" s="48"/>
      <c r="CB139" s="37"/>
      <c r="CC139" s="48"/>
      <c r="CD139" s="37"/>
      <c r="CE139" s="48"/>
      <c r="CF139" s="37"/>
      <c r="CG139" s="48"/>
      <c r="CH139" s="37"/>
      <c r="CI139" s="48"/>
      <c r="CJ139" s="36"/>
      <c r="CK139" s="36"/>
      <c r="CL139" s="36"/>
      <c r="CM139" s="36"/>
      <c r="CN139" s="41"/>
      <c r="CO139" s="41"/>
      <c r="CP139" s="42">
        <f t="shared" si="91"/>
        <v>24</v>
      </c>
      <c r="CQ139" s="42">
        <f t="shared" si="91"/>
        <v>2210627.1072345604</v>
      </c>
    </row>
    <row r="140" spans="1:95" s="3" customFormat="1" ht="45" hidden="1" customHeight="1" x14ac:dyDescent="0.25">
      <c r="A140" s="54"/>
      <c r="B140" s="54">
        <v>94</v>
      </c>
      <c r="C140" s="73" t="s">
        <v>375</v>
      </c>
      <c r="D140" s="70" t="s">
        <v>376</v>
      </c>
      <c r="E140" s="110">
        <v>16026</v>
      </c>
      <c r="F140" s="110">
        <v>16828</v>
      </c>
      <c r="G140" s="73">
        <v>5.33</v>
      </c>
      <c r="H140" s="62">
        <v>7.1199999999999999E-2</v>
      </c>
      <c r="I140" s="35">
        <v>1</v>
      </c>
      <c r="J140" s="111"/>
      <c r="K140" s="35"/>
      <c r="L140" s="97">
        <v>1.4</v>
      </c>
      <c r="M140" s="97">
        <v>1.68</v>
      </c>
      <c r="N140" s="97">
        <v>2.23</v>
      </c>
      <c r="O140" s="97">
        <v>2.57</v>
      </c>
      <c r="P140" s="36"/>
      <c r="Q140" s="48">
        <f t="shared" si="150"/>
        <v>0</v>
      </c>
      <c r="R140" s="37"/>
      <c r="S140" s="48">
        <f t="shared" si="151"/>
        <v>0</v>
      </c>
      <c r="T140" s="36"/>
      <c r="U140" s="48">
        <f t="shared" si="152"/>
        <v>0</v>
      </c>
      <c r="V140" s="36">
        <v>3</v>
      </c>
      <c r="W140" s="48">
        <f>(V140/12*2*$E140*$G140*((1-$H140)+$H140*$L140*$I140))+(V140/12*10*$F140*$G140*((1-$H140)+$H140*$L140*$I140))</f>
        <v>274544.90926720004</v>
      </c>
      <c r="X140" s="37"/>
      <c r="Y140" s="48">
        <f t="shared" si="154"/>
        <v>0</v>
      </c>
      <c r="Z140" s="37"/>
      <c r="AA140" s="48">
        <f t="shared" si="155"/>
        <v>0</v>
      </c>
      <c r="AB140" s="37"/>
      <c r="AC140" s="48"/>
      <c r="AD140" s="37">
        <v>0</v>
      </c>
      <c r="AE140" s="48">
        <f t="shared" si="156"/>
        <v>0</v>
      </c>
      <c r="AF140" s="36"/>
      <c r="AG140" s="48">
        <f t="shared" si="157"/>
        <v>0</v>
      </c>
      <c r="AH140" s="37"/>
      <c r="AI140" s="48">
        <f t="shared" si="158"/>
        <v>0</v>
      </c>
      <c r="AJ140" s="48">
        <v>0</v>
      </c>
      <c r="AK140" s="48">
        <v>0</v>
      </c>
      <c r="AL140" s="37"/>
      <c r="AM140" s="48">
        <f t="shared" si="159"/>
        <v>0</v>
      </c>
      <c r="AN140" s="37"/>
      <c r="AO140" s="48">
        <f t="shared" si="160"/>
        <v>0</v>
      </c>
      <c r="AP140" s="37"/>
      <c r="AQ140" s="48"/>
      <c r="AR140" s="37"/>
      <c r="AS140" s="48"/>
      <c r="AT140" s="37"/>
      <c r="AU140" s="48"/>
      <c r="AV140" s="37"/>
      <c r="AW140" s="48"/>
      <c r="AX140" s="37"/>
      <c r="AY140" s="48"/>
      <c r="AZ140" s="37"/>
      <c r="BA140" s="48"/>
      <c r="BB140" s="37"/>
      <c r="BC140" s="48"/>
      <c r="BD140" s="37"/>
      <c r="BE140" s="48">
        <f t="shared" si="161"/>
        <v>0</v>
      </c>
      <c r="BF140" s="37"/>
      <c r="BG140" s="48">
        <f t="shared" si="162"/>
        <v>0</v>
      </c>
      <c r="BH140" s="63"/>
      <c r="BI140" s="48">
        <f t="shared" si="163"/>
        <v>0</v>
      </c>
      <c r="BJ140" s="37"/>
      <c r="BK140" s="48">
        <f t="shared" si="164"/>
        <v>0</v>
      </c>
      <c r="BL140" s="37"/>
      <c r="BM140" s="48">
        <f t="shared" si="165"/>
        <v>0</v>
      </c>
      <c r="BN140" s="37"/>
      <c r="BO140" s="48">
        <f t="shared" si="166"/>
        <v>0</v>
      </c>
      <c r="BP140" s="39"/>
      <c r="BQ140" s="48"/>
      <c r="BR140" s="37"/>
      <c r="BS140" s="48">
        <f t="shared" si="167"/>
        <v>0</v>
      </c>
      <c r="BT140" s="37"/>
      <c r="BU140" s="48">
        <f t="shared" si="168"/>
        <v>0</v>
      </c>
      <c r="BV140" s="36"/>
      <c r="BW140" s="48">
        <f t="shared" si="169"/>
        <v>0</v>
      </c>
      <c r="BX140" s="37"/>
      <c r="BY140" s="48">
        <f t="shared" si="170"/>
        <v>0</v>
      </c>
      <c r="BZ140" s="37"/>
      <c r="CA140" s="48">
        <f t="shared" si="171"/>
        <v>0</v>
      </c>
      <c r="CB140" s="37"/>
      <c r="CC140" s="48">
        <f t="shared" si="172"/>
        <v>0</v>
      </c>
      <c r="CD140" s="37"/>
      <c r="CE140" s="48">
        <f t="shared" si="173"/>
        <v>0</v>
      </c>
      <c r="CF140" s="37"/>
      <c r="CG140" s="48">
        <f t="shared" si="174"/>
        <v>0</v>
      </c>
      <c r="CH140" s="37"/>
      <c r="CI140" s="48">
        <f t="shared" si="175"/>
        <v>0</v>
      </c>
      <c r="CJ140" s="36"/>
      <c r="CK140" s="36"/>
      <c r="CL140" s="36"/>
      <c r="CM140" s="36"/>
      <c r="CN140" s="41"/>
      <c r="CO140" s="41"/>
      <c r="CP140" s="42">
        <f t="shared" si="91"/>
        <v>3</v>
      </c>
      <c r="CQ140" s="42">
        <f t="shared" si="91"/>
        <v>274544.90926720004</v>
      </c>
    </row>
    <row r="141" spans="1:95" s="3" customFormat="1" ht="18.75" hidden="1" customHeight="1" x14ac:dyDescent="0.25">
      <c r="A141" s="54"/>
      <c r="B141" s="98" t="s">
        <v>377</v>
      </c>
      <c r="C141" s="73" t="s">
        <v>378</v>
      </c>
      <c r="D141" s="70" t="s">
        <v>379</v>
      </c>
      <c r="E141" s="110"/>
      <c r="F141" s="110">
        <v>16828</v>
      </c>
      <c r="G141" s="73">
        <v>3.35</v>
      </c>
      <c r="H141" s="62">
        <v>7.1199999999999999E-2</v>
      </c>
      <c r="I141" s="35">
        <v>1</v>
      </c>
      <c r="J141" s="111"/>
      <c r="K141" s="35"/>
      <c r="L141" s="97">
        <v>1.4</v>
      </c>
      <c r="M141" s="97">
        <v>1.68</v>
      </c>
      <c r="N141" s="97">
        <v>2.23</v>
      </c>
      <c r="O141" s="97">
        <v>2.57</v>
      </c>
      <c r="P141" s="36"/>
      <c r="Q141" s="48"/>
      <c r="R141" s="37"/>
      <c r="S141" s="48"/>
      <c r="T141" s="36"/>
      <c r="U141" s="48"/>
      <c r="V141" s="36">
        <f>1+8</f>
        <v>9</v>
      </c>
      <c r="W141" s="48">
        <f t="shared" si="176"/>
        <v>521813.93241600005</v>
      </c>
      <c r="X141" s="37"/>
      <c r="Y141" s="48"/>
      <c r="Z141" s="37"/>
      <c r="AA141" s="48"/>
      <c r="AB141" s="37"/>
      <c r="AC141" s="48"/>
      <c r="AD141" s="37"/>
      <c r="AE141" s="48"/>
      <c r="AF141" s="36"/>
      <c r="AG141" s="48"/>
      <c r="AH141" s="37"/>
      <c r="AI141" s="48"/>
      <c r="AJ141" s="48">
        <v>0</v>
      </c>
      <c r="AK141" s="48">
        <v>0</v>
      </c>
      <c r="AL141" s="37"/>
      <c r="AM141" s="48"/>
      <c r="AN141" s="37"/>
      <c r="AO141" s="48"/>
      <c r="AP141" s="37"/>
      <c r="AQ141" s="48"/>
      <c r="AR141" s="37"/>
      <c r="AS141" s="48"/>
      <c r="AT141" s="37"/>
      <c r="AU141" s="48"/>
      <c r="AV141" s="37"/>
      <c r="AW141" s="48"/>
      <c r="AX141" s="37"/>
      <c r="AY141" s="48"/>
      <c r="AZ141" s="37"/>
      <c r="BA141" s="48"/>
      <c r="BB141" s="37"/>
      <c r="BC141" s="48"/>
      <c r="BD141" s="37"/>
      <c r="BE141" s="48"/>
      <c r="BF141" s="37"/>
      <c r="BG141" s="48"/>
      <c r="BH141" s="63"/>
      <c r="BI141" s="48"/>
      <c r="BJ141" s="37"/>
      <c r="BK141" s="48"/>
      <c r="BL141" s="37"/>
      <c r="BM141" s="48"/>
      <c r="BN141" s="37"/>
      <c r="BO141" s="48"/>
      <c r="BP141" s="39"/>
      <c r="BQ141" s="48"/>
      <c r="BR141" s="37"/>
      <c r="BS141" s="48"/>
      <c r="BT141" s="37"/>
      <c r="BU141" s="48"/>
      <c r="BV141" s="36"/>
      <c r="BW141" s="48"/>
      <c r="BX141" s="37"/>
      <c r="BY141" s="48"/>
      <c r="BZ141" s="37"/>
      <c r="CA141" s="48"/>
      <c r="CB141" s="37"/>
      <c r="CC141" s="48"/>
      <c r="CD141" s="37"/>
      <c r="CE141" s="48"/>
      <c r="CF141" s="37"/>
      <c r="CG141" s="48"/>
      <c r="CH141" s="37"/>
      <c r="CI141" s="48"/>
      <c r="CJ141" s="36"/>
      <c r="CK141" s="36"/>
      <c r="CL141" s="36"/>
      <c r="CM141" s="36"/>
      <c r="CN141" s="41"/>
      <c r="CO141" s="41"/>
      <c r="CP141" s="42">
        <f t="shared" si="91"/>
        <v>9</v>
      </c>
      <c r="CQ141" s="42">
        <f t="shared" si="91"/>
        <v>521813.93241600005</v>
      </c>
    </row>
    <row r="142" spans="1:95" s="3" customFormat="1" ht="18.75" hidden="1" customHeight="1" x14ac:dyDescent="0.25">
      <c r="A142" s="54"/>
      <c r="B142" s="98" t="s">
        <v>380</v>
      </c>
      <c r="C142" s="73" t="s">
        <v>381</v>
      </c>
      <c r="D142" s="70" t="s">
        <v>382</v>
      </c>
      <c r="E142" s="110"/>
      <c r="F142" s="110">
        <v>16828</v>
      </c>
      <c r="G142" s="73">
        <v>5.29</v>
      </c>
      <c r="H142" s="62">
        <v>7.1199999999999999E-2</v>
      </c>
      <c r="I142" s="35">
        <v>1</v>
      </c>
      <c r="J142" s="111"/>
      <c r="K142" s="35"/>
      <c r="L142" s="97">
        <v>1.4</v>
      </c>
      <c r="M142" s="97">
        <v>1.68</v>
      </c>
      <c r="N142" s="97">
        <v>2.23</v>
      </c>
      <c r="O142" s="97">
        <v>2.57</v>
      </c>
      <c r="P142" s="36"/>
      <c r="Q142" s="48"/>
      <c r="R142" s="37"/>
      <c r="S142" s="48"/>
      <c r="T142" s="36"/>
      <c r="U142" s="48"/>
      <c r="V142" s="36">
        <f>1+8</f>
        <v>9</v>
      </c>
      <c r="W142" s="48">
        <f t="shared" si="176"/>
        <v>823998.71715839999</v>
      </c>
      <c r="X142" s="37"/>
      <c r="Y142" s="48"/>
      <c r="Z142" s="37"/>
      <c r="AA142" s="48"/>
      <c r="AB142" s="37"/>
      <c r="AC142" s="48"/>
      <c r="AD142" s="37"/>
      <c r="AE142" s="48"/>
      <c r="AF142" s="36"/>
      <c r="AG142" s="48"/>
      <c r="AH142" s="37"/>
      <c r="AI142" s="48"/>
      <c r="AJ142" s="48">
        <v>0</v>
      </c>
      <c r="AK142" s="48">
        <v>0</v>
      </c>
      <c r="AL142" s="37"/>
      <c r="AM142" s="48"/>
      <c r="AN142" s="37"/>
      <c r="AO142" s="48"/>
      <c r="AP142" s="37"/>
      <c r="AQ142" s="48"/>
      <c r="AR142" s="37"/>
      <c r="AS142" s="48"/>
      <c r="AT142" s="37"/>
      <c r="AU142" s="48"/>
      <c r="AV142" s="37"/>
      <c r="AW142" s="48"/>
      <c r="AX142" s="37"/>
      <c r="AY142" s="48"/>
      <c r="AZ142" s="37"/>
      <c r="BA142" s="48"/>
      <c r="BB142" s="37"/>
      <c r="BC142" s="48"/>
      <c r="BD142" s="37"/>
      <c r="BE142" s="48"/>
      <c r="BF142" s="37"/>
      <c r="BG142" s="48"/>
      <c r="BH142" s="63"/>
      <c r="BI142" s="48"/>
      <c r="BJ142" s="37"/>
      <c r="BK142" s="48"/>
      <c r="BL142" s="37"/>
      <c r="BM142" s="48"/>
      <c r="BN142" s="37"/>
      <c r="BO142" s="48"/>
      <c r="BP142" s="39"/>
      <c r="BQ142" s="48"/>
      <c r="BR142" s="37"/>
      <c r="BS142" s="48"/>
      <c r="BT142" s="37"/>
      <c r="BU142" s="48"/>
      <c r="BV142" s="36"/>
      <c r="BW142" s="48"/>
      <c r="BX142" s="37"/>
      <c r="BY142" s="48"/>
      <c r="BZ142" s="37"/>
      <c r="CA142" s="48"/>
      <c r="CB142" s="37"/>
      <c r="CC142" s="48"/>
      <c r="CD142" s="37"/>
      <c r="CE142" s="48"/>
      <c r="CF142" s="37"/>
      <c r="CG142" s="48"/>
      <c r="CH142" s="37"/>
      <c r="CI142" s="48"/>
      <c r="CJ142" s="36"/>
      <c r="CK142" s="36"/>
      <c r="CL142" s="36"/>
      <c r="CM142" s="36"/>
      <c r="CN142" s="41"/>
      <c r="CO142" s="41"/>
      <c r="CP142" s="42">
        <f t="shared" si="91"/>
        <v>9</v>
      </c>
      <c r="CQ142" s="42">
        <f t="shared" si="91"/>
        <v>823998.71715839999</v>
      </c>
    </row>
    <row r="143" spans="1:95" s="3" customFormat="1" ht="18.75" hidden="1" customHeight="1" x14ac:dyDescent="0.25">
      <c r="A143" s="54"/>
      <c r="B143" s="98" t="s">
        <v>383</v>
      </c>
      <c r="C143" s="73" t="s">
        <v>384</v>
      </c>
      <c r="D143" s="70" t="s">
        <v>385</v>
      </c>
      <c r="E143" s="110"/>
      <c r="F143" s="110">
        <v>16828</v>
      </c>
      <c r="G143" s="73">
        <v>6.97</v>
      </c>
      <c r="H143" s="62">
        <v>7.1199999999999999E-2</v>
      </c>
      <c r="I143" s="35">
        <v>1</v>
      </c>
      <c r="J143" s="111"/>
      <c r="K143" s="35"/>
      <c r="L143" s="97">
        <v>1.4</v>
      </c>
      <c r="M143" s="97">
        <v>1.68</v>
      </c>
      <c r="N143" s="97">
        <v>2.23</v>
      </c>
      <c r="O143" s="97">
        <v>2.57</v>
      </c>
      <c r="P143" s="36"/>
      <c r="Q143" s="48"/>
      <c r="R143" s="37"/>
      <c r="S143" s="48"/>
      <c r="T143" s="36"/>
      <c r="U143" s="48"/>
      <c r="V143" s="36">
        <f>1+8</f>
        <v>9</v>
      </c>
      <c r="W143" s="48">
        <f t="shared" si="176"/>
        <v>1085684.5101312001</v>
      </c>
      <c r="X143" s="37"/>
      <c r="Y143" s="48"/>
      <c r="Z143" s="37"/>
      <c r="AA143" s="48"/>
      <c r="AB143" s="37"/>
      <c r="AC143" s="48"/>
      <c r="AD143" s="37"/>
      <c r="AE143" s="48"/>
      <c r="AF143" s="36"/>
      <c r="AG143" s="48"/>
      <c r="AH143" s="37"/>
      <c r="AI143" s="48"/>
      <c r="AJ143" s="48">
        <v>0</v>
      </c>
      <c r="AK143" s="48">
        <v>0</v>
      </c>
      <c r="AL143" s="37"/>
      <c r="AM143" s="48"/>
      <c r="AN143" s="37"/>
      <c r="AO143" s="48"/>
      <c r="AP143" s="37"/>
      <c r="AQ143" s="48"/>
      <c r="AR143" s="37"/>
      <c r="AS143" s="48"/>
      <c r="AT143" s="37"/>
      <c r="AU143" s="48"/>
      <c r="AV143" s="37"/>
      <c r="AW143" s="48"/>
      <c r="AX143" s="37"/>
      <c r="AY143" s="48"/>
      <c r="AZ143" s="37"/>
      <c r="BA143" s="48"/>
      <c r="BB143" s="37"/>
      <c r="BC143" s="48"/>
      <c r="BD143" s="37"/>
      <c r="BE143" s="48"/>
      <c r="BF143" s="37"/>
      <c r="BG143" s="48"/>
      <c r="BH143" s="63"/>
      <c r="BI143" s="48"/>
      <c r="BJ143" s="37"/>
      <c r="BK143" s="48"/>
      <c r="BL143" s="37"/>
      <c r="BM143" s="48"/>
      <c r="BN143" s="37"/>
      <c r="BO143" s="48"/>
      <c r="BP143" s="39"/>
      <c r="BQ143" s="48"/>
      <c r="BR143" s="37"/>
      <c r="BS143" s="48"/>
      <c r="BT143" s="37"/>
      <c r="BU143" s="48"/>
      <c r="BV143" s="36"/>
      <c r="BW143" s="48"/>
      <c r="BX143" s="37"/>
      <c r="BY143" s="48"/>
      <c r="BZ143" s="37"/>
      <c r="CA143" s="48"/>
      <c r="CB143" s="37"/>
      <c r="CC143" s="48"/>
      <c r="CD143" s="37"/>
      <c r="CE143" s="48"/>
      <c r="CF143" s="37"/>
      <c r="CG143" s="48"/>
      <c r="CH143" s="37"/>
      <c r="CI143" s="48"/>
      <c r="CJ143" s="36"/>
      <c r="CK143" s="36"/>
      <c r="CL143" s="36"/>
      <c r="CM143" s="36"/>
      <c r="CN143" s="41"/>
      <c r="CO143" s="41"/>
      <c r="CP143" s="42">
        <f t="shared" si="91"/>
        <v>9</v>
      </c>
      <c r="CQ143" s="42">
        <f t="shared" si="91"/>
        <v>1085684.5101312001</v>
      </c>
    </row>
    <row r="144" spans="1:95" s="3" customFormat="1" ht="45" hidden="1" x14ac:dyDescent="0.25">
      <c r="A144" s="54"/>
      <c r="B144" s="54">
        <v>95</v>
      </c>
      <c r="C144" s="73" t="s">
        <v>386</v>
      </c>
      <c r="D144" s="70" t="s">
        <v>387</v>
      </c>
      <c r="E144" s="110">
        <v>16026</v>
      </c>
      <c r="F144" s="110">
        <v>16828</v>
      </c>
      <c r="G144" s="73">
        <v>7.27</v>
      </c>
      <c r="H144" s="62">
        <v>0.1595</v>
      </c>
      <c r="I144" s="35">
        <v>1</v>
      </c>
      <c r="J144" s="111"/>
      <c r="K144" s="35"/>
      <c r="L144" s="97">
        <v>1.4</v>
      </c>
      <c r="M144" s="97">
        <v>1.68</v>
      </c>
      <c r="N144" s="97">
        <v>2.23</v>
      </c>
      <c r="O144" s="97">
        <v>2.57</v>
      </c>
      <c r="P144" s="36"/>
      <c r="Q144" s="48">
        <f t="shared" si="150"/>
        <v>0</v>
      </c>
      <c r="R144" s="37"/>
      <c r="S144" s="48">
        <f t="shared" si="151"/>
        <v>0</v>
      </c>
      <c r="T144" s="36"/>
      <c r="U144" s="48">
        <f t="shared" si="152"/>
        <v>0</v>
      </c>
      <c r="V144" s="36">
        <f>36+40</f>
        <v>76</v>
      </c>
      <c r="W144" s="48">
        <f t="shared" si="153"/>
        <v>9812441.2581359986</v>
      </c>
      <c r="X144" s="37"/>
      <c r="Y144" s="48">
        <f t="shared" si="154"/>
        <v>0</v>
      </c>
      <c r="Z144" s="37"/>
      <c r="AA144" s="48">
        <f t="shared" si="155"/>
        <v>0</v>
      </c>
      <c r="AB144" s="37">
        <v>0</v>
      </c>
      <c r="AC144" s="48"/>
      <c r="AD144" s="37">
        <v>0</v>
      </c>
      <c r="AE144" s="48">
        <f t="shared" si="156"/>
        <v>0</v>
      </c>
      <c r="AF144" s="36">
        <f>38+17</f>
        <v>55</v>
      </c>
      <c r="AG144" s="48">
        <f t="shared" si="157"/>
        <v>7399224.5405576648</v>
      </c>
      <c r="AH144" s="37"/>
      <c r="AI144" s="48">
        <f t="shared" si="158"/>
        <v>0</v>
      </c>
      <c r="AJ144" s="48">
        <v>0</v>
      </c>
      <c r="AK144" s="48">
        <v>0</v>
      </c>
      <c r="AL144" s="37"/>
      <c r="AM144" s="48">
        <f t="shared" si="159"/>
        <v>0</v>
      </c>
      <c r="AN144" s="37"/>
      <c r="AO144" s="48">
        <f t="shared" si="160"/>
        <v>0</v>
      </c>
      <c r="AP144" s="37"/>
      <c r="AQ144" s="48"/>
      <c r="AR144" s="37"/>
      <c r="AS144" s="48"/>
      <c r="AT144" s="37"/>
      <c r="AU144" s="48"/>
      <c r="AV144" s="37"/>
      <c r="AW144" s="48"/>
      <c r="AX144" s="37"/>
      <c r="AY144" s="48"/>
      <c r="AZ144" s="37"/>
      <c r="BA144" s="48"/>
      <c r="BB144" s="37"/>
      <c r="BC144" s="48"/>
      <c r="BD144" s="37"/>
      <c r="BE144" s="48">
        <f t="shared" si="161"/>
        <v>0</v>
      </c>
      <c r="BF144" s="37"/>
      <c r="BG144" s="48">
        <f t="shared" si="162"/>
        <v>0</v>
      </c>
      <c r="BH144" s="63"/>
      <c r="BI144" s="48">
        <f t="shared" si="163"/>
        <v>0</v>
      </c>
      <c r="BJ144" s="37"/>
      <c r="BK144" s="48">
        <f t="shared" si="164"/>
        <v>0</v>
      </c>
      <c r="BL144" s="37"/>
      <c r="BM144" s="48">
        <f t="shared" si="165"/>
        <v>0</v>
      </c>
      <c r="BN144" s="37"/>
      <c r="BO144" s="48">
        <f t="shared" si="166"/>
        <v>0</v>
      </c>
      <c r="BP144" s="39"/>
      <c r="BQ144" s="48"/>
      <c r="BR144" s="37"/>
      <c r="BS144" s="48">
        <f t="shared" si="167"/>
        <v>0</v>
      </c>
      <c r="BT144" s="37"/>
      <c r="BU144" s="48">
        <f t="shared" si="168"/>
        <v>0</v>
      </c>
      <c r="BV144" s="36"/>
      <c r="BW144" s="48">
        <f t="shared" si="169"/>
        <v>0</v>
      </c>
      <c r="BX144" s="37"/>
      <c r="BY144" s="48">
        <f t="shared" si="170"/>
        <v>0</v>
      </c>
      <c r="BZ144" s="37"/>
      <c r="CA144" s="48">
        <f t="shared" si="171"/>
        <v>0</v>
      </c>
      <c r="CB144" s="37"/>
      <c r="CC144" s="48">
        <f t="shared" si="172"/>
        <v>0</v>
      </c>
      <c r="CD144" s="37"/>
      <c r="CE144" s="48">
        <f t="shared" si="173"/>
        <v>0</v>
      </c>
      <c r="CF144" s="37"/>
      <c r="CG144" s="48">
        <f t="shared" si="174"/>
        <v>0</v>
      </c>
      <c r="CH144" s="37"/>
      <c r="CI144" s="48">
        <f t="shared" si="175"/>
        <v>0</v>
      </c>
      <c r="CJ144" s="36"/>
      <c r="CK144" s="36"/>
      <c r="CL144" s="36"/>
      <c r="CM144" s="36"/>
      <c r="CN144" s="41"/>
      <c r="CO144" s="41"/>
      <c r="CP144" s="42">
        <f t="shared" si="91"/>
        <v>131</v>
      </c>
      <c r="CQ144" s="42">
        <f t="shared" si="91"/>
        <v>17211665.798693664</v>
      </c>
    </row>
    <row r="145" spans="1:95" s="3" customFormat="1" ht="18.75" hidden="1" x14ac:dyDescent="0.25">
      <c r="A145" s="54"/>
      <c r="B145" s="98" t="s">
        <v>388</v>
      </c>
      <c r="C145" s="73" t="s">
        <v>389</v>
      </c>
      <c r="D145" s="99" t="s">
        <v>390</v>
      </c>
      <c r="E145" s="122"/>
      <c r="F145" s="122">
        <v>16828</v>
      </c>
      <c r="G145" s="73">
        <v>4.8600000000000003</v>
      </c>
      <c r="H145" s="74">
        <v>0.1595</v>
      </c>
      <c r="I145" s="35">
        <v>1</v>
      </c>
      <c r="J145" s="111"/>
      <c r="K145" s="65"/>
      <c r="L145" s="65">
        <v>1.4</v>
      </c>
      <c r="M145" s="65">
        <v>1.68</v>
      </c>
      <c r="N145" s="97">
        <v>2.23</v>
      </c>
      <c r="O145" s="97">
        <v>2.57</v>
      </c>
      <c r="P145" s="36"/>
      <c r="Q145" s="48"/>
      <c r="R145" s="37"/>
      <c r="S145" s="48"/>
      <c r="T145" s="36"/>
      <c r="U145" s="48"/>
      <c r="V145" s="36">
        <f>25+14</f>
        <v>39</v>
      </c>
      <c r="W145" s="48">
        <f t="shared" si="176"/>
        <v>3393074.2678560005</v>
      </c>
      <c r="X145" s="37"/>
      <c r="Y145" s="48"/>
      <c r="Z145" s="37"/>
      <c r="AA145" s="48"/>
      <c r="AB145" s="37"/>
      <c r="AC145" s="48"/>
      <c r="AD145" s="37"/>
      <c r="AE145" s="48"/>
      <c r="AF145" s="36">
        <v>21</v>
      </c>
      <c r="AG145" s="48">
        <f t="shared" ref="AG145:AG150" si="180">(AF145*$F145*$G145*((1-$H145)+$H145*$M145*$I145))</f>
        <v>1903742.0076528003</v>
      </c>
      <c r="AH145" s="37"/>
      <c r="AI145" s="48"/>
      <c r="AJ145" s="48">
        <v>0</v>
      </c>
      <c r="AK145" s="48">
        <v>0</v>
      </c>
      <c r="AL145" s="37"/>
      <c r="AM145" s="48"/>
      <c r="AN145" s="37"/>
      <c r="AO145" s="48"/>
      <c r="AP145" s="37"/>
      <c r="AQ145" s="48"/>
      <c r="AR145" s="37"/>
      <c r="AS145" s="48"/>
      <c r="AT145" s="37"/>
      <c r="AU145" s="48"/>
      <c r="AV145" s="37"/>
      <c r="AW145" s="48"/>
      <c r="AX145" s="37"/>
      <c r="AY145" s="48"/>
      <c r="AZ145" s="37"/>
      <c r="BA145" s="48"/>
      <c r="BB145" s="37"/>
      <c r="BC145" s="48"/>
      <c r="BD145" s="37"/>
      <c r="BE145" s="48"/>
      <c r="BF145" s="37"/>
      <c r="BG145" s="48"/>
      <c r="BH145" s="63"/>
      <c r="BI145" s="48"/>
      <c r="BJ145" s="37"/>
      <c r="BK145" s="48"/>
      <c r="BL145" s="37"/>
      <c r="BM145" s="48"/>
      <c r="BN145" s="37"/>
      <c r="BO145" s="48"/>
      <c r="BP145" s="39"/>
      <c r="BQ145" s="48"/>
      <c r="BR145" s="37"/>
      <c r="BS145" s="48"/>
      <c r="BT145" s="37"/>
      <c r="BU145" s="48"/>
      <c r="BV145" s="36"/>
      <c r="BW145" s="48"/>
      <c r="BX145" s="37"/>
      <c r="BY145" s="48"/>
      <c r="BZ145" s="37"/>
      <c r="CA145" s="48"/>
      <c r="CB145" s="37"/>
      <c r="CC145" s="48"/>
      <c r="CD145" s="37"/>
      <c r="CE145" s="48"/>
      <c r="CF145" s="37"/>
      <c r="CG145" s="48"/>
      <c r="CH145" s="37"/>
      <c r="CI145" s="48"/>
      <c r="CJ145" s="36"/>
      <c r="CK145" s="36"/>
      <c r="CL145" s="36"/>
      <c r="CM145" s="36"/>
      <c r="CN145" s="41"/>
      <c r="CO145" s="41"/>
      <c r="CP145" s="42">
        <f t="shared" si="91"/>
        <v>60</v>
      </c>
      <c r="CQ145" s="42">
        <f t="shared" si="91"/>
        <v>5296816.2755088005</v>
      </c>
    </row>
    <row r="146" spans="1:95" s="3" customFormat="1" ht="18.75" hidden="1" x14ac:dyDescent="0.25">
      <c r="A146" s="54"/>
      <c r="B146" s="98" t="s">
        <v>391</v>
      </c>
      <c r="C146" s="73" t="s">
        <v>392</v>
      </c>
      <c r="D146" s="99" t="s">
        <v>393</v>
      </c>
      <c r="E146" s="122"/>
      <c r="F146" s="122">
        <v>16828</v>
      </c>
      <c r="G146" s="73">
        <v>6.79</v>
      </c>
      <c r="H146" s="74">
        <v>0.1595</v>
      </c>
      <c r="I146" s="35">
        <v>1</v>
      </c>
      <c r="J146" s="111"/>
      <c r="K146" s="65"/>
      <c r="L146" s="65">
        <v>1.4</v>
      </c>
      <c r="M146" s="65">
        <v>1.68</v>
      </c>
      <c r="N146" s="97">
        <v>2.23</v>
      </c>
      <c r="O146" s="97">
        <v>2.57</v>
      </c>
      <c r="P146" s="36"/>
      <c r="Q146" s="48"/>
      <c r="R146" s="37"/>
      <c r="S146" s="48"/>
      <c r="T146" s="36"/>
      <c r="U146" s="48"/>
      <c r="V146" s="36">
        <f>50+50</f>
        <v>100</v>
      </c>
      <c r="W146" s="48">
        <f t="shared" si="176"/>
        <v>12155204.3256</v>
      </c>
      <c r="X146" s="37"/>
      <c r="Y146" s="48"/>
      <c r="Z146" s="37"/>
      <c r="AA146" s="48"/>
      <c r="AB146" s="37"/>
      <c r="AC146" s="48"/>
      <c r="AD146" s="37"/>
      <c r="AE146" s="48"/>
      <c r="AF146" s="36">
        <v>48</v>
      </c>
      <c r="AG146" s="48">
        <f t="shared" si="180"/>
        <v>6079439.4976896001</v>
      </c>
      <c r="AH146" s="37"/>
      <c r="AI146" s="48"/>
      <c r="AJ146" s="48">
        <v>0</v>
      </c>
      <c r="AK146" s="48">
        <v>0</v>
      </c>
      <c r="AL146" s="37"/>
      <c r="AM146" s="48"/>
      <c r="AN146" s="37"/>
      <c r="AO146" s="48"/>
      <c r="AP146" s="37"/>
      <c r="AQ146" s="48"/>
      <c r="AR146" s="37"/>
      <c r="AS146" s="48"/>
      <c r="AT146" s="37"/>
      <c r="AU146" s="48"/>
      <c r="AV146" s="37"/>
      <c r="AW146" s="48"/>
      <c r="AX146" s="37"/>
      <c r="AY146" s="48"/>
      <c r="AZ146" s="37"/>
      <c r="BA146" s="48"/>
      <c r="BB146" s="37"/>
      <c r="BC146" s="48"/>
      <c r="BD146" s="37"/>
      <c r="BE146" s="48"/>
      <c r="BF146" s="37"/>
      <c r="BG146" s="48"/>
      <c r="BH146" s="63"/>
      <c r="BI146" s="48"/>
      <c r="BJ146" s="37"/>
      <c r="BK146" s="48"/>
      <c r="BL146" s="37"/>
      <c r="BM146" s="48"/>
      <c r="BN146" s="37"/>
      <c r="BO146" s="48"/>
      <c r="BP146" s="39"/>
      <c r="BQ146" s="48"/>
      <c r="BR146" s="37"/>
      <c r="BS146" s="48"/>
      <c r="BT146" s="37"/>
      <c r="BU146" s="48"/>
      <c r="BV146" s="36"/>
      <c r="BW146" s="48"/>
      <c r="BX146" s="37"/>
      <c r="BY146" s="48"/>
      <c r="BZ146" s="37"/>
      <c r="CA146" s="48"/>
      <c r="CB146" s="37"/>
      <c r="CC146" s="48"/>
      <c r="CD146" s="37"/>
      <c r="CE146" s="48"/>
      <c r="CF146" s="37"/>
      <c r="CG146" s="48"/>
      <c r="CH146" s="37"/>
      <c r="CI146" s="48"/>
      <c r="CJ146" s="36"/>
      <c r="CK146" s="36"/>
      <c r="CL146" s="36"/>
      <c r="CM146" s="36"/>
      <c r="CN146" s="41"/>
      <c r="CO146" s="41"/>
      <c r="CP146" s="42">
        <f t="shared" ref="CP146:CQ170" si="181">SUM(R146+P146+T146+V146+AB146+Z146+X146+AF146+AD146+AH146+AJ146+BF146+BJ146+AL146+AT146+AV146+BT146+BV146+BR146+BX146+BZ146+BN146+AN146+AP146+AR146+BH146+BL146+AX146+AZ146+BB146+BD146+BP146+CB146+CD146+CF146+CH146+CJ146+CL146)</f>
        <v>148</v>
      </c>
      <c r="CQ146" s="42">
        <f t="shared" si="181"/>
        <v>18234643.823289599</v>
      </c>
    </row>
    <row r="147" spans="1:95" s="3" customFormat="1" ht="18.75" hidden="1" x14ac:dyDescent="0.25">
      <c r="A147" s="54"/>
      <c r="B147" s="98" t="s">
        <v>394</v>
      </c>
      <c r="C147" s="73" t="s">
        <v>395</v>
      </c>
      <c r="D147" s="99" t="s">
        <v>396</v>
      </c>
      <c r="E147" s="122"/>
      <c r="F147" s="122">
        <v>16828</v>
      </c>
      <c r="G147" s="73">
        <v>10.51</v>
      </c>
      <c r="H147" s="74">
        <v>0.1595</v>
      </c>
      <c r="I147" s="35">
        <v>1</v>
      </c>
      <c r="J147" s="111"/>
      <c r="K147" s="65"/>
      <c r="L147" s="65">
        <v>1.4</v>
      </c>
      <c r="M147" s="65">
        <v>1.68</v>
      </c>
      <c r="N147" s="97">
        <v>2.23</v>
      </c>
      <c r="O147" s="97">
        <v>2.57</v>
      </c>
      <c r="P147" s="36"/>
      <c r="Q147" s="48"/>
      <c r="R147" s="37"/>
      <c r="S147" s="48"/>
      <c r="T147" s="36"/>
      <c r="U147" s="48"/>
      <c r="V147" s="36">
        <f>26+17</f>
        <v>43</v>
      </c>
      <c r="W147" s="48">
        <f t="shared" si="176"/>
        <v>8090282.0189520009</v>
      </c>
      <c r="X147" s="37"/>
      <c r="Y147" s="48"/>
      <c r="Z147" s="37"/>
      <c r="AA147" s="48"/>
      <c r="AB147" s="37"/>
      <c r="AC147" s="48"/>
      <c r="AD147" s="37"/>
      <c r="AE147" s="48"/>
      <c r="AF147" s="36">
        <v>23</v>
      </c>
      <c r="AG147" s="48">
        <f t="shared" si="180"/>
        <v>4509029.5464423997</v>
      </c>
      <c r="AH147" s="37"/>
      <c r="AI147" s="48"/>
      <c r="AJ147" s="48">
        <v>0</v>
      </c>
      <c r="AK147" s="48">
        <v>0</v>
      </c>
      <c r="AL147" s="37"/>
      <c r="AM147" s="48"/>
      <c r="AN147" s="37"/>
      <c r="AO147" s="48"/>
      <c r="AP147" s="37"/>
      <c r="AQ147" s="48"/>
      <c r="AR147" s="37"/>
      <c r="AS147" s="48"/>
      <c r="AT147" s="37"/>
      <c r="AU147" s="48"/>
      <c r="AV147" s="37"/>
      <c r="AW147" s="48"/>
      <c r="AX147" s="37"/>
      <c r="AY147" s="48"/>
      <c r="AZ147" s="37"/>
      <c r="BA147" s="48"/>
      <c r="BB147" s="37"/>
      <c r="BC147" s="48"/>
      <c r="BD147" s="37"/>
      <c r="BE147" s="48"/>
      <c r="BF147" s="37"/>
      <c r="BG147" s="48"/>
      <c r="BH147" s="63"/>
      <c r="BI147" s="48"/>
      <c r="BJ147" s="37"/>
      <c r="BK147" s="48"/>
      <c r="BL147" s="37"/>
      <c r="BM147" s="48"/>
      <c r="BN147" s="37"/>
      <c r="BO147" s="48"/>
      <c r="BP147" s="39"/>
      <c r="BQ147" s="48"/>
      <c r="BR147" s="37"/>
      <c r="BS147" s="48"/>
      <c r="BT147" s="37"/>
      <c r="BU147" s="48"/>
      <c r="BV147" s="36"/>
      <c r="BW147" s="48"/>
      <c r="BX147" s="37"/>
      <c r="BY147" s="48"/>
      <c r="BZ147" s="37"/>
      <c r="CA147" s="48"/>
      <c r="CB147" s="37"/>
      <c r="CC147" s="48"/>
      <c r="CD147" s="37"/>
      <c r="CE147" s="48"/>
      <c r="CF147" s="37"/>
      <c r="CG147" s="48"/>
      <c r="CH147" s="37"/>
      <c r="CI147" s="48"/>
      <c r="CJ147" s="36"/>
      <c r="CK147" s="36"/>
      <c r="CL147" s="36"/>
      <c r="CM147" s="36"/>
      <c r="CN147" s="41"/>
      <c r="CO147" s="41"/>
      <c r="CP147" s="42">
        <f t="shared" si="181"/>
        <v>66</v>
      </c>
      <c r="CQ147" s="42">
        <f t="shared" si="181"/>
        <v>12599311.565394402</v>
      </c>
    </row>
    <row r="148" spans="1:95" s="3" customFormat="1" ht="45" hidden="1" x14ac:dyDescent="0.25">
      <c r="A148" s="54"/>
      <c r="B148" s="54">
        <v>96</v>
      </c>
      <c r="C148" s="73" t="s">
        <v>397</v>
      </c>
      <c r="D148" s="70" t="s">
        <v>398</v>
      </c>
      <c r="E148" s="110">
        <v>16026</v>
      </c>
      <c r="F148" s="110">
        <v>16828</v>
      </c>
      <c r="G148" s="73">
        <v>8.32</v>
      </c>
      <c r="H148" s="62">
        <v>0.25569999999999998</v>
      </c>
      <c r="I148" s="35">
        <v>1</v>
      </c>
      <c r="J148" s="111"/>
      <c r="K148" s="35"/>
      <c r="L148" s="65">
        <v>1.4</v>
      </c>
      <c r="M148" s="65">
        <v>1.68</v>
      </c>
      <c r="N148" s="65">
        <v>2.23</v>
      </c>
      <c r="O148" s="65">
        <v>2.57</v>
      </c>
      <c r="P148" s="36"/>
      <c r="Q148" s="48">
        <f t="shared" si="150"/>
        <v>0</v>
      </c>
      <c r="R148" s="37"/>
      <c r="S148" s="48">
        <f t="shared" si="151"/>
        <v>0</v>
      </c>
      <c r="T148" s="36"/>
      <c r="U148" s="48">
        <f t="shared" si="152"/>
        <v>0</v>
      </c>
      <c r="V148" s="36">
        <f>8+7</f>
        <v>15</v>
      </c>
      <c r="W148" s="48">
        <f t="shared" si="153"/>
        <v>2296548.3523839996</v>
      </c>
      <c r="X148" s="37"/>
      <c r="Y148" s="48">
        <f t="shared" si="154"/>
        <v>0</v>
      </c>
      <c r="Z148" s="37"/>
      <c r="AA148" s="48">
        <f t="shared" si="155"/>
        <v>0</v>
      </c>
      <c r="AB148" s="37">
        <v>0</v>
      </c>
      <c r="AC148" s="48"/>
      <c r="AD148" s="37">
        <v>0</v>
      </c>
      <c r="AE148" s="48">
        <f t="shared" si="156"/>
        <v>0</v>
      </c>
      <c r="AF148" s="36">
        <f>6+9</f>
        <v>15</v>
      </c>
      <c r="AG148" s="48">
        <f t="shared" si="157"/>
        <v>2445715.2390528</v>
      </c>
      <c r="AH148" s="37"/>
      <c r="AI148" s="48">
        <f t="shared" si="158"/>
        <v>0</v>
      </c>
      <c r="AJ148" s="48">
        <v>0</v>
      </c>
      <c r="AK148" s="48">
        <v>0</v>
      </c>
      <c r="AL148" s="37"/>
      <c r="AM148" s="48">
        <f t="shared" si="159"/>
        <v>0</v>
      </c>
      <c r="AN148" s="37"/>
      <c r="AO148" s="48">
        <f t="shared" si="160"/>
        <v>0</v>
      </c>
      <c r="AP148" s="37"/>
      <c r="AQ148" s="48"/>
      <c r="AR148" s="37"/>
      <c r="AS148" s="48"/>
      <c r="AT148" s="37"/>
      <c r="AU148" s="48"/>
      <c r="AV148" s="37"/>
      <c r="AW148" s="48"/>
      <c r="AX148" s="37"/>
      <c r="AY148" s="48"/>
      <c r="AZ148" s="37"/>
      <c r="BA148" s="48"/>
      <c r="BB148" s="37"/>
      <c r="BC148" s="48"/>
      <c r="BD148" s="37"/>
      <c r="BE148" s="48">
        <f t="shared" si="161"/>
        <v>0</v>
      </c>
      <c r="BF148" s="37"/>
      <c r="BG148" s="48">
        <f t="shared" si="162"/>
        <v>0</v>
      </c>
      <c r="BH148" s="63"/>
      <c r="BI148" s="48">
        <f t="shared" si="163"/>
        <v>0</v>
      </c>
      <c r="BJ148" s="37"/>
      <c r="BK148" s="48">
        <f t="shared" si="164"/>
        <v>0</v>
      </c>
      <c r="BL148" s="37"/>
      <c r="BM148" s="48">
        <f t="shared" si="165"/>
        <v>0</v>
      </c>
      <c r="BN148" s="37"/>
      <c r="BO148" s="48">
        <f t="shared" si="166"/>
        <v>0</v>
      </c>
      <c r="BP148" s="39"/>
      <c r="BQ148" s="48"/>
      <c r="BR148" s="37"/>
      <c r="BS148" s="48">
        <f t="shared" si="167"/>
        <v>0</v>
      </c>
      <c r="BT148" s="37"/>
      <c r="BU148" s="48">
        <f t="shared" si="168"/>
        <v>0</v>
      </c>
      <c r="BV148" s="36"/>
      <c r="BW148" s="48">
        <f t="shared" si="169"/>
        <v>0</v>
      </c>
      <c r="BX148" s="37"/>
      <c r="BY148" s="48">
        <f t="shared" si="170"/>
        <v>0</v>
      </c>
      <c r="BZ148" s="37"/>
      <c r="CA148" s="48">
        <f t="shared" si="171"/>
        <v>0</v>
      </c>
      <c r="CB148" s="37"/>
      <c r="CC148" s="48">
        <f t="shared" si="172"/>
        <v>0</v>
      </c>
      <c r="CD148" s="37"/>
      <c r="CE148" s="48">
        <f t="shared" si="173"/>
        <v>0</v>
      </c>
      <c r="CF148" s="37"/>
      <c r="CG148" s="48">
        <f t="shared" si="174"/>
        <v>0</v>
      </c>
      <c r="CH148" s="37"/>
      <c r="CI148" s="48">
        <f t="shared" si="175"/>
        <v>0</v>
      </c>
      <c r="CJ148" s="36"/>
      <c r="CK148" s="36"/>
      <c r="CL148" s="36"/>
      <c r="CM148" s="36"/>
      <c r="CN148" s="41"/>
      <c r="CO148" s="41"/>
      <c r="CP148" s="42">
        <f t="shared" si="181"/>
        <v>30</v>
      </c>
      <c r="CQ148" s="42">
        <f t="shared" si="181"/>
        <v>4742263.5914367996</v>
      </c>
    </row>
    <row r="149" spans="1:95" s="3" customFormat="1" ht="18.75" hidden="1" x14ac:dyDescent="0.25">
      <c r="A149" s="54"/>
      <c r="B149" s="98" t="s">
        <v>399</v>
      </c>
      <c r="C149" s="73" t="s">
        <v>400</v>
      </c>
      <c r="D149" s="99" t="s">
        <v>401</v>
      </c>
      <c r="E149" s="122"/>
      <c r="F149" s="122">
        <v>16828</v>
      </c>
      <c r="G149" s="73">
        <v>5.95</v>
      </c>
      <c r="H149" s="74">
        <v>0.25569999999999998</v>
      </c>
      <c r="I149" s="35">
        <v>1</v>
      </c>
      <c r="J149" s="111"/>
      <c r="K149" s="65"/>
      <c r="L149" s="65">
        <v>1.4</v>
      </c>
      <c r="M149" s="65">
        <v>1.68</v>
      </c>
      <c r="N149" s="65">
        <v>2.23</v>
      </c>
      <c r="O149" s="65">
        <v>2.57</v>
      </c>
      <c r="P149" s="36"/>
      <c r="Q149" s="48"/>
      <c r="R149" s="37"/>
      <c r="S149" s="48"/>
      <c r="T149" s="36"/>
      <c r="U149" s="48"/>
      <c r="V149" s="36">
        <f>11-1</f>
        <v>10</v>
      </c>
      <c r="W149" s="48">
        <f t="shared" si="176"/>
        <v>1103675.48648</v>
      </c>
      <c r="X149" s="37"/>
      <c r="Y149" s="48"/>
      <c r="Z149" s="37"/>
      <c r="AA149" s="48"/>
      <c r="AB149" s="37"/>
      <c r="AC149" s="48"/>
      <c r="AD149" s="37"/>
      <c r="AE149" s="48"/>
      <c r="AF149" s="36">
        <f>4+9</f>
        <v>13</v>
      </c>
      <c r="AG149" s="48">
        <f t="shared" si="180"/>
        <v>1527970.7651207999</v>
      </c>
      <c r="AH149" s="37"/>
      <c r="AI149" s="48"/>
      <c r="AJ149" s="48">
        <v>0</v>
      </c>
      <c r="AK149" s="48">
        <v>0</v>
      </c>
      <c r="AL149" s="37"/>
      <c r="AM149" s="48"/>
      <c r="AN149" s="37"/>
      <c r="AO149" s="48"/>
      <c r="AP149" s="37"/>
      <c r="AQ149" s="48"/>
      <c r="AR149" s="37"/>
      <c r="AS149" s="48"/>
      <c r="AT149" s="37"/>
      <c r="AU149" s="48"/>
      <c r="AV149" s="37"/>
      <c r="AW149" s="48"/>
      <c r="AX149" s="37"/>
      <c r="AY149" s="48"/>
      <c r="AZ149" s="37"/>
      <c r="BA149" s="48"/>
      <c r="BB149" s="37"/>
      <c r="BC149" s="48"/>
      <c r="BD149" s="37"/>
      <c r="BE149" s="48"/>
      <c r="BF149" s="37"/>
      <c r="BG149" s="48"/>
      <c r="BH149" s="63"/>
      <c r="BI149" s="48"/>
      <c r="BJ149" s="37"/>
      <c r="BK149" s="48"/>
      <c r="BL149" s="37"/>
      <c r="BM149" s="48"/>
      <c r="BN149" s="37"/>
      <c r="BO149" s="48"/>
      <c r="BP149" s="39"/>
      <c r="BQ149" s="48"/>
      <c r="BR149" s="37"/>
      <c r="BS149" s="48"/>
      <c r="BT149" s="37"/>
      <c r="BU149" s="48"/>
      <c r="BV149" s="36"/>
      <c r="BW149" s="48"/>
      <c r="BX149" s="37"/>
      <c r="BY149" s="48"/>
      <c r="BZ149" s="37"/>
      <c r="CA149" s="48"/>
      <c r="CB149" s="37"/>
      <c r="CC149" s="48"/>
      <c r="CD149" s="37"/>
      <c r="CE149" s="48"/>
      <c r="CF149" s="37"/>
      <c r="CG149" s="48"/>
      <c r="CH149" s="37"/>
      <c r="CI149" s="48"/>
      <c r="CJ149" s="36"/>
      <c r="CK149" s="36"/>
      <c r="CL149" s="36"/>
      <c r="CM149" s="36"/>
      <c r="CN149" s="41"/>
      <c r="CO149" s="41"/>
      <c r="CP149" s="42">
        <f t="shared" si="181"/>
        <v>23</v>
      </c>
      <c r="CQ149" s="42">
        <f t="shared" si="181"/>
        <v>2631646.2516008001</v>
      </c>
    </row>
    <row r="150" spans="1:95" s="3" customFormat="1" ht="18.75" hidden="1" x14ac:dyDescent="0.25">
      <c r="A150" s="54"/>
      <c r="B150" s="98" t="s">
        <v>402</v>
      </c>
      <c r="C150" s="73" t="s">
        <v>403</v>
      </c>
      <c r="D150" s="99" t="s">
        <v>404</v>
      </c>
      <c r="E150" s="122"/>
      <c r="F150" s="122">
        <v>16828</v>
      </c>
      <c r="G150" s="73">
        <v>9.44</v>
      </c>
      <c r="H150" s="74">
        <v>0.25569999999999998</v>
      </c>
      <c r="I150" s="35">
        <v>1</v>
      </c>
      <c r="J150" s="111"/>
      <c r="K150" s="65"/>
      <c r="L150" s="65">
        <v>1.4</v>
      </c>
      <c r="M150" s="65">
        <v>1.68</v>
      </c>
      <c r="N150" s="65">
        <v>2.23</v>
      </c>
      <c r="O150" s="65">
        <v>2.57</v>
      </c>
      <c r="P150" s="36"/>
      <c r="Q150" s="48"/>
      <c r="R150" s="37"/>
      <c r="S150" s="48"/>
      <c r="T150" s="36"/>
      <c r="U150" s="48"/>
      <c r="V150" s="36">
        <f>23-3</f>
        <v>20</v>
      </c>
      <c r="W150" s="48">
        <f t="shared" si="176"/>
        <v>3502082.8881919999</v>
      </c>
      <c r="X150" s="37"/>
      <c r="Y150" s="48"/>
      <c r="Z150" s="37"/>
      <c r="AA150" s="48"/>
      <c r="AB150" s="37"/>
      <c r="AC150" s="48"/>
      <c r="AD150" s="37"/>
      <c r="AE150" s="48"/>
      <c r="AF150" s="36">
        <f>8+18</f>
        <v>26</v>
      </c>
      <c r="AG150" s="48">
        <f t="shared" si="180"/>
        <v>4848418.1589043196</v>
      </c>
      <c r="AH150" s="37"/>
      <c r="AI150" s="48"/>
      <c r="AJ150" s="48">
        <v>0</v>
      </c>
      <c r="AK150" s="48">
        <v>0</v>
      </c>
      <c r="AL150" s="37"/>
      <c r="AM150" s="48"/>
      <c r="AN150" s="37"/>
      <c r="AO150" s="48"/>
      <c r="AP150" s="37"/>
      <c r="AQ150" s="48"/>
      <c r="AR150" s="37"/>
      <c r="AS150" s="48"/>
      <c r="AT150" s="37"/>
      <c r="AU150" s="48"/>
      <c r="AV150" s="37"/>
      <c r="AW150" s="48"/>
      <c r="AX150" s="37"/>
      <c r="AY150" s="48"/>
      <c r="AZ150" s="37"/>
      <c r="BA150" s="48"/>
      <c r="BB150" s="37"/>
      <c r="BC150" s="48"/>
      <c r="BD150" s="37"/>
      <c r="BE150" s="48"/>
      <c r="BF150" s="37"/>
      <c r="BG150" s="48"/>
      <c r="BH150" s="63"/>
      <c r="BI150" s="48"/>
      <c r="BJ150" s="37"/>
      <c r="BK150" s="48"/>
      <c r="BL150" s="37"/>
      <c r="BM150" s="48"/>
      <c r="BN150" s="37"/>
      <c r="BO150" s="48"/>
      <c r="BP150" s="39"/>
      <c r="BQ150" s="48"/>
      <c r="BR150" s="37"/>
      <c r="BS150" s="48"/>
      <c r="BT150" s="37"/>
      <c r="BU150" s="48"/>
      <c r="BV150" s="36"/>
      <c r="BW150" s="48"/>
      <c r="BX150" s="37"/>
      <c r="BY150" s="48"/>
      <c r="BZ150" s="37"/>
      <c r="CA150" s="48"/>
      <c r="CB150" s="37"/>
      <c r="CC150" s="48"/>
      <c r="CD150" s="37"/>
      <c r="CE150" s="48"/>
      <c r="CF150" s="37"/>
      <c r="CG150" s="48"/>
      <c r="CH150" s="37"/>
      <c r="CI150" s="48"/>
      <c r="CJ150" s="36"/>
      <c r="CK150" s="36"/>
      <c r="CL150" s="36"/>
      <c r="CM150" s="36"/>
      <c r="CN150" s="41"/>
      <c r="CO150" s="41"/>
      <c r="CP150" s="42">
        <f t="shared" si="181"/>
        <v>46</v>
      </c>
      <c r="CQ150" s="42">
        <f t="shared" si="181"/>
        <v>8350501.0470963195</v>
      </c>
    </row>
    <row r="151" spans="1:95" s="3" customFormat="1" ht="45" hidden="1" x14ac:dyDescent="0.25">
      <c r="A151" s="54"/>
      <c r="B151" s="54">
        <v>97</v>
      </c>
      <c r="C151" s="73" t="s">
        <v>405</v>
      </c>
      <c r="D151" s="70" t="s">
        <v>406</v>
      </c>
      <c r="E151" s="110">
        <v>16026</v>
      </c>
      <c r="F151" s="110">
        <v>16828</v>
      </c>
      <c r="G151" s="73">
        <v>9.98</v>
      </c>
      <c r="H151" s="62">
        <v>0.23830000000000001</v>
      </c>
      <c r="I151" s="35">
        <v>1</v>
      </c>
      <c r="J151" s="111"/>
      <c r="K151" s="35"/>
      <c r="L151" s="65">
        <v>1.4</v>
      </c>
      <c r="M151" s="65">
        <v>1.68</v>
      </c>
      <c r="N151" s="65">
        <v>2.23</v>
      </c>
      <c r="O151" s="65">
        <v>2.57</v>
      </c>
      <c r="P151" s="36"/>
      <c r="Q151" s="48">
        <f t="shared" si="150"/>
        <v>0</v>
      </c>
      <c r="R151" s="37"/>
      <c r="S151" s="48">
        <f t="shared" si="151"/>
        <v>0</v>
      </c>
      <c r="T151" s="36"/>
      <c r="U151" s="48">
        <f t="shared" si="152"/>
        <v>0</v>
      </c>
      <c r="V151" s="36">
        <v>178</v>
      </c>
      <c r="W151" s="48">
        <f t="shared" si="153"/>
        <v>32483337.323882136</v>
      </c>
      <c r="X151" s="37"/>
      <c r="Y151" s="48">
        <f t="shared" si="154"/>
        <v>0</v>
      </c>
      <c r="Z151" s="37"/>
      <c r="AA151" s="48">
        <f t="shared" si="155"/>
        <v>0</v>
      </c>
      <c r="AB151" s="37">
        <v>0</v>
      </c>
      <c r="AC151" s="48"/>
      <c r="AD151" s="37">
        <v>0</v>
      </c>
      <c r="AE151" s="48">
        <f t="shared" si="156"/>
        <v>0</v>
      </c>
      <c r="AF151" s="36">
        <f>130+24</f>
        <v>154</v>
      </c>
      <c r="AG151" s="48">
        <f t="shared" si="157"/>
        <v>29815556.207717285</v>
      </c>
      <c r="AH151" s="37"/>
      <c r="AI151" s="48">
        <f t="shared" si="158"/>
        <v>0</v>
      </c>
      <c r="AJ151" s="48">
        <v>0</v>
      </c>
      <c r="AK151" s="48">
        <v>0</v>
      </c>
      <c r="AL151" s="37"/>
      <c r="AM151" s="48">
        <f t="shared" si="159"/>
        <v>0</v>
      </c>
      <c r="AN151" s="37"/>
      <c r="AO151" s="48">
        <f t="shared" si="160"/>
        <v>0</v>
      </c>
      <c r="AP151" s="37"/>
      <c r="AQ151" s="48"/>
      <c r="AR151" s="37"/>
      <c r="AS151" s="48"/>
      <c r="AT151" s="37"/>
      <c r="AU151" s="48"/>
      <c r="AV151" s="37"/>
      <c r="AW151" s="48"/>
      <c r="AX151" s="37"/>
      <c r="AY151" s="48"/>
      <c r="AZ151" s="37"/>
      <c r="BA151" s="48"/>
      <c r="BB151" s="37"/>
      <c r="BC151" s="48"/>
      <c r="BD151" s="37"/>
      <c r="BE151" s="48">
        <f t="shared" si="161"/>
        <v>0</v>
      </c>
      <c r="BF151" s="37"/>
      <c r="BG151" s="48">
        <f t="shared" si="162"/>
        <v>0</v>
      </c>
      <c r="BH151" s="63"/>
      <c r="BI151" s="48">
        <f t="shared" si="163"/>
        <v>0</v>
      </c>
      <c r="BJ151" s="37"/>
      <c r="BK151" s="48">
        <f t="shared" si="164"/>
        <v>0</v>
      </c>
      <c r="BL151" s="37"/>
      <c r="BM151" s="48">
        <f t="shared" si="165"/>
        <v>0</v>
      </c>
      <c r="BN151" s="37"/>
      <c r="BO151" s="48">
        <f t="shared" si="166"/>
        <v>0</v>
      </c>
      <c r="BP151" s="39"/>
      <c r="BQ151" s="48"/>
      <c r="BR151" s="37"/>
      <c r="BS151" s="48">
        <f t="shared" si="167"/>
        <v>0</v>
      </c>
      <c r="BT151" s="37"/>
      <c r="BU151" s="48">
        <f t="shared" si="168"/>
        <v>0</v>
      </c>
      <c r="BV151" s="36"/>
      <c r="BW151" s="48">
        <f t="shared" si="169"/>
        <v>0</v>
      </c>
      <c r="BX151" s="37"/>
      <c r="BY151" s="48">
        <f t="shared" si="170"/>
        <v>0</v>
      </c>
      <c r="BZ151" s="37"/>
      <c r="CA151" s="48">
        <f t="shared" si="171"/>
        <v>0</v>
      </c>
      <c r="CB151" s="37"/>
      <c r="CC151" s="48">
        <f t="shared" si="172"/>
        <v>0</v>
      </c>
      <c r="CD151" s="37"/>
      <c r="CE151" s="48">
        <f t="shared" si="173"/>
        <v>0</v>
      </c>
      <c r="CF151" s="37"/>
      <c r="CG151" s="48">
        <f t="shared" si="174"/>
        <v>0</v>
      </c>
      <c r="CH151" s="37"/>
      <c r="CI151" s="48">
        <f t="shared" si="175"/>
        <v>0</v>
      </c>
      <c r="CJ151" s="36"/>
      <c r="CK151" s="36"/>
      <c r="CL151" s="36"/>
      <c r="CM151" s="36"/>
      <c r="CN151" s="41"/>
      <c r="CO151" s="41"/>
      <c r="CP151" s="42">
        <f t="shared" si="181"/>
        <v>332</v>
      </c>
      <c r="CQ151" s="42">
        <f t="shared" si="181"/>
        <v>62298893.531599417</v>
      </c>
    </row>
    <row r="152" spans="1:95" s="3" customFormat="1" ht="45" hidden="1" x14ac:dyDescent="0.25">
      <c r="A152" s="54"/>
      <c r="B152" s="54">
        <v>98</v>
      </c>
      <c r="C152" s="73" t="s">
        <v>407</v>
      </c>
      <c r="D152" s="70" t="s">
        <v>408</v>
      </c>
      <c r="E152" s="110">
        <v>16026</v>
      </c>
      <c r="F152" s="110">
        <v>16828</v>
      </c>
      <c r="G152" s="73">
        <v>11.68</v>
      </c>
      <c r="H152" s="62">
        <v>0.1239</v>
      </c>
      <c r="I152" s="35">
        <v>1</v>
      </c>
      <c r="J152" s="111"/>
      <c r="K152" s="35"/>
      <c r="L152" s="65">
        <v>1.4</v>
      </c>
      <c r="M152" s="65">
        <v>1.68</v>
      </c>
      <c r="N152" s="65">
        <v>2.23</v>
      </c>
      <c r="O152" s="65">
        <v>2.57</v>
      </c>
      <c r="P152" s="36"/>
      <c r="Q152" s="48">
        <f t="shared" si="150"/>
        <v>0</v>
      </c>
      <c r="R152" s="37"/>
      <c r="S152" s="48">
        <f t="shared" si="151"/>
        <v>0</v>
      </c>
      <c r="T152" s="36"/>
      <c r="U152" s="48">
        <f t="shared" si="152"/>
        <v>0</v>
      </c>
      <c r="V152" s="36">
        <v>53</v>
      </c>
      <c r="W152" s="48">
        <f t="shared" si="153"/>
        <v>10846635.949553067</v>
      </c>
      <c r="X152" s="37"/>
      <c r="Y152" s="48">
        <f t="shared" si="154"/>
        <v>0</v>
      </c>
      <c r="Z152" s="37"/>
      <c r="AA152" s="48">
        <f t="shared" si="155"/>
        <v>0</v>
      </c>
      <c r="AB152" s="37"/>
      <c r="AC152" s="48"/>
      <c r="AD152" s="37"/>
      <c r="AE152" s="48">
        <f t="shared" si="156"/>
        <v>0</v>
      </c>
      <c r="AF152" s="36">
        <f>11+37</f>
        <v>48</v>
      </c>
      <c r="AG152" s="48">
        <f t="shared" si="157"/>
        <v>10148068.564142078</v>
      </c>
      <c r="AH152" s="37"/>
      <c r="AI152" s="48">
        <f t="shared" si="158"/>
        <v>0</v>
      </c>
      <c r="AJ152" s="48">
        <v>0</v>
      </c>
      <c r="AK152" s="48">
        <v>0</v>
      </c>
      <c r="AL152" s="37"/>
      <c r="AM152" s="48">
        <f t="shared" si="159"/>
        <v>0</v>
      </c>
      <c r="AN152" s="37"/>
      <c r="AO152" s="48">
        <f t="shared" si="160"/>
        <v>0</v>
      </c>
      <c r="AP152" s="37"/>
      <c r="AQ152" s="48"/>
      <c r="AR152" s="37"/>
      <c r="AS152" s="48"/>
      <c r="AT152" s="37"/>
      <c r="AU152" s="48"/>
      <c r="AV152" s="37"/>
      <c r="AW152" s="48"/>
      <c r="AX152" s="37"/>
      <c r="AY152" s="48"/>
      <c r="AZ152" s="37"/>
      <c r="BA152" s="48"/>
      <c r="BB152" s="37"/>
      <c r="BC152" s="48"/>
      <c r="BD152" s="37"/>
      <c r="BE152" s="48">
        <f t="shared" si="161"/>
        <v>0</v>
      </c>
      <c r="BF152" s="37"/>
      <c r="BG152" s="48">
        <f t="shared" si="162"/>
        <v>0</v>
      </c>
      <c r="BH152" s="63"/>
      <c r="BI152" s="48">
        <f t="shared" si="163"/>
        <v>0</v>
      </c>
      <c r="BJ152" s="37"/>
      <c r="BK152" s="48">
        <f t="shared" si="164"/>
        <v>0</v>
      </c>
      <c r="BL152" s="37"/>
      <c r="BM152" s="48">
        <f t="shared" si="165"/>
        <v>0</v>
      </c>
      <c r="BN152" s="37"/>
      <c r="BO152" s="48">
        <f t="shared" si="166"/>
        <v>0</v>
      </c>
      <c r="BP152" s="39"/>
      <c r="BQ152" s="48"/>
      <c r="BR152" s="37"/>
      <c r="BS152" s="48">
        <f t="shared" si="167"/>
        <v>0</v>
      </c>
      <c r="BT152" s="37"/>
      <c r="BU152" s="48">
        <f t="shared" si="168"/>
        <v>0</v>
      </c>
      <c r="BV152" s="36"/>
      <c r="BW152" s="48">
        <f t="shared" si="169"/>
        <v>0</v>
      </c>
      <c r="BX152" s="37"/>
      <c r="BY152" s="48">
        <f t="shared" si="170"/>
        <v>0</v>
      </c>
      <c r="BZ152" s="37"/>
      <c r="CA152" s="48">
        <f t="shared" si="171"/>
        <v>0</v>
      </c>
      <c r="CB152" s="37"/>
      <c r="CC152" s="48">
        <f t="shared" si="172"/>
        <v>0</v>
      </c>
      <c r="CD152" s="37"/>
      <c r="CE152" s="48">
        <f t="shared" si="173"/>
        <v>0</v>
      </c>
      <c r="CF152" s="37"/>
      <c r="CG152" s="48">
        <f t="shared" si="174"/>
        <v>0</v>
      </c>
      <c r="CH152" s="37"/>
      <c r="CI152" s="48">
        <f t="shared" si="175"/>
        <v>0</v>
      </c>
      <c r="CJ152" s="36"/>
      <c r="CK152" s="36"/>
      <c r="CL152" s="36"/>
      <c r="CM152" s="36"/>
      <c r="CN152" s="41"/>
      <c r="CO152" s="41"/>
      <c r="CP152" s="42">
        <f t="shared" si="181"/>
        <v>101</v>
      </c>
      <c r="CQ152" s="42">
        <f t="shared" si="181"/>
        <v>20994704.513695143</v>
      </c>
    </row>
    <row r="153" spans="1:95" s="3" customFormat="1" ht="59.25" hidden="1" customHeight="1" x14ac:dyDescent="0.25">
      <c r="A153" s="54"/>
      <c r="B153" s="54">
        <v>99</v>
      </c>
      <c r="C153" s="73" t="s">
        <v>409</v>
      </c>
      <c r="D153" s="70" t="s">
        <v>410</v>
      </c>
      <c r="E153" s="110">
        <v>16026</v>
      </c>
      <c r="F153" s="110">
        <v>16828</v>
      </c>
      <c r="G153" s="73">
        <v>13.11</v>
      </c>
      <c r="H153" s="62">
        <v>3.49E-2</v>
      </c>
      <c r="I153" s="35">
        <v>1</v>
      </c>
      <c r="J153" s="111"/>
      <c r="K153" s="35"/>
      <c r="L153" s="65">
        <v>1.4</v>
      </c>
      <c r="M153" s="65">
        <v>1.68</v>
      </c>
      <c r="N153" s="65">
        <v>2.23</v>
      </c>
      <c r="O153" s="65">
        <v>2.57</v>
      </c>
      <c r="P153" s="36"/>
      <c r="Q153" s="48">
        <f t="shared" si="150"/>
        <v>0</v>
      </c>
      <c r="R153" s="37"/>
      <c r="S153" s="48">
        <f t="shared" si="151"/>
        <v>0</v>
      </c>
      <c r="T153" s="36"/>
      <c r="U153" s="48">
        <f t="shared" si="152"/>
        <v>0</v>
      </c>
      <c r="V153" s="36">
        <f>17+11</f>
        <v>28</v>
      </c>
      <c r="W153" s="48">
        <f t="shared" si="153"/>
        <v>6213704.9360847995</v>
      </c>
      <c r="X153" s="37"/>
      <c r="Y153" s="48">
        <f t="shared" si="154"/>
        <v>0</v>
      </c>
      <c r="Z153" s="37"/>
      <c r="AA153" s="48">
        <f t="shared" si="155"/>
        <v>0</v>
      </c>
      <c r="AB153" s="37"/>
      <c r="AC153" s="48"/>
      <c r="AD153" s="37"/>
      <c r="AE153" s="48">
        <f t="shared" si="156"/>
        <v>0</v>
      </c>
      <c r="AF153" s="36">
        <f>13+3</f>
        <v>16</v>
      </c>
      <c r="AG153" s="48">
        <f t="shared" si="157"/>
        <v>3584908.1573395189</v>
      </c>
      <c r="AH153" s="37"/>
      <c r="AI153" s="48">
        <f t="shared" si="158"/>
        <v>0</v>
      </c>
      <c r="AJ153" s="48">
        <v>0</v>
      </c>
      <c r="AK153" s="48">
        <v>0</v>
      </c>
      <c r="AL153" s="37"/>
      <c r="AM153" s="48">
        <f t="shared" si="159"/>
        <v>0</v>
      </c>
      <c r="AN153" s="37"/>
      <c r="AO153" s="48">
        <f t="shared" si="160"/>
        <v>0</v>
      </c>
      <c r="AP153" s="37"/>
      <c r="AQ153" s="48"/>
      <c r="AR153" s="37"/>
      <c r="AS153" s="48"/>
      <c r="AT153" s="37"/>
      <c r="AU153" s="48"/>
      <c r="AV153" s="37"/>
      <c r="AW153" s="48"/>
      <c r="AX153" s="37"/>
      <c r="AY153" s="48"/>
      <c r="AZ153" s="37"/>
      <c r="BA153" s="48"/>
      <c r="BB153" s="37"/>
      <c r="BC153" s="48"/>
      <c r="BD153" s="37"/>
      <c r="BE153" s="48">
        <f t="shared" si="161"/>
        <v>0</v>
      </c>
      <c r="BF153" s="37"/>
      <c r="BG153" s="48">
        <f t="shared" si="162"/>
        <v>0</v>
      </c>
      <c r="BH153" s="63"/>
      <c r="BI153" s="48">
        <f t="shared" si="163"/>
        <v>0</v>
      </c>
      <c r="BJ153" s="37"/>
      <c r="BK153" s="48">
        <f t="shared" si="164"/>
        <v>0</v>
      </c>
      <c r="BL153" s="37"/>
      <c r="BM153" s="48">
        <f t="shared" si="165"/>
        <v>0</v>
      </c>
      <c r="BN153" s="37"/>
      <c r="BO153" s="48">
        <f t="shared" si="166"/>
        <v>0</v>
      </c>
      <c r="BP153" s="39"/>
      <c r="BQ153" s="48"/>
      <c r="BR153" s="37"/>
      <c r="BS153" s="48">
        <f t="shared" si="167"/>
        <v>0</v>
      </c>
      <c r="BT153" s="37"/>
      <c r="BU153" s="48">
        <f t="shared" si="168"/>
        <v>0</v>
      </c>
      <c r="BV153" s="36"/>
      <c r="BW153" s="48">
        <f t="shared" si="169"/>
        <v>0</v>
      </c>
      <c r="BX153" s="37"/>
      <c r="BY153" s="48">
        <f t="shared" si="170"/>
        <v>0</v>
      </c>
      <c r="BZ153" s="37"/>
      <c r="CA153" s="48">
        <f t="shared" si="171"/>
        <v>0</v>
      </c>
      <c r="CB153" s="37"/>
      <c r="CC153" s="48">
        <f t="shared" si="172"/>
        <v>0</v>
      </c>
      <c r="CD153" s="37"/>
      <c r="CE153" s="48">
        <f t="shared" si="173"/>
        <v>0</v>
      </c>
      <c r="CF153" s="37"/>
      <c r="CG153" s="48">
        <f t="shared" si="174"/>
        <v>0</v>
      </c>
      <c r="CH153" s="37"/>
      <c r="CI153" s="48">
        <f t="shared" si="175"/>
        <v>0</v>
      </c>
      <c r="CJ153" s="36"/>
      <c r="CK153" s="36"/>
      <c r="CL153" s="36"/>
      <c r="CM153" s="36"/>
      <c r="CN153" s="41"/>
      <c r="CO153" s="41"/>
      <c r="CP153" s="42">
        <f t="shared" si="181"/>
        <v>44</v>
      </c>
      <c r="CQ153" s="42">
        <f t="shared" si="181"/>
        <v>9798613.0934243184</v>
      </c>
    </row>
    <row r="154" spans="1:95" s="3" customFormat="1" ht="18.75" hidden="1" x14ac:dyDescent="0.25">
      <c r="A154" s="54"/>
      <c r="B154" s="98" t="s">
        <v>411</v>
      </c>
      <c r="C154" s="73" t="s">
        <v>412</v>
      </c>
      <c r="D154" s="99" t="s">
        <v>413</v>
      </c>
      <c r="E154" s="122"/>
      <c r="F154" s="122">
        <v>16828</v>
      </c>
      <c r="G154" s="73">
        <v>11.68</v>
      </c>
      <c r="H154" s="74">
        <v>3.49E-2</v>
      </c>
      <c r="I154" s="35">
        <v>1</v>
      </c>
      <c r="J154" s="111"/>
      <c r="K154" s="65"/>
      <c r="L154" s="65">
        <v>1.4</v>
      </c>
      <c r="M154" s="65">
        <v>1.68</v>
      </c>
      <c r="N154" s="65">
        <v>2.23</v>
      </c>
      <c r="O154" s="65">
        <v>2.57</v>
      </c>
      <c r="P154" s="36"/>
      <c r="Q154" s="48"/>
      <c r="R154" s="37"/>
      <c r="S154" s="48"/>
      <c r="T154" s="36"/>
      <c r="U154" s="48"/>
      <c r="V154" s="36">
        <f>6+17</f>
        <v>23</v>
      </c>
      <c r="W154" s="48">
        <f t="shared" ref="W154:W155" si="182">(V154*$F154*$G154*((1-$H154)+$H154*$L154*$I154))</f>
        <v>4583782.5279231993</v>
      </c>
      <c r="X154" s="37"/>
      <c r="Y154" s="48"/>
      <c r="Z154" s="37"/>
      <c r="AA154" s="48"/>
      <c r="AB154" s="37"/>
      <c r="AC154" s="48"/>
      <c r="AD154" s="37"/>
      <c r="AE154" s="48"/>
      <c r="AF154" s="36">
        <f>7+9</f>
        <v>16</v>
      </c>
      <c r="AG154" s="48">
        <f t="shared" ref="AG154:AG155" si="183">(AF154*$F154*$G154*((1-$H154)+$H154*$M154*$I154))</f>
        <v>3219449.4285004796</v>
      </c>
      <c r="AH154" s="37"/>
      <c r="AI154" s="48"/>
      <c r="AJ154" s="48">
        <v>0</v>
      </c>
      <c r="AK154" s="48">
        <v>0</v>
      </c>
      <c r="AL154" s="37"/>
      <c r="AM154" s="48"/>
      <c r="AN154" s="37"/>
      <c r="AO154" s="48"/>
      <c r="AP154" s="37"/>
      <c r="AQ154" s="48"/>
      <c r="AR154" s="37"/>
      <c r="AS154" s="48"/>
      <c r="AT154" s="37"/>
      <c r="AU154" s="48"/>
      <c r="AV154" s="37"/>
      <c r="AW154" s="48"/>
      <c r="AX154" s="37"/>
      <c r="AY154" s="48"/>
      <c r="AZ154" s="37"/>
      <c r="BA154" s="48"/>
      <c r="BB154" s="37"/>
      <c r="BC154" s="48"/>
      <c r="BD154" s="37"/>
      <c r="BE154" s="48"/>
      <c r="BF154" s="37"/>
      <c r="BG154" s="48"/>
      <c r="BH154" s="63"/>
      <c r="BI154" s="48"/>
      <c r="BJ154" s="37"/>
      <c r="BK154" s="48"/>
      <c r="BL154" s="37"/>
      <c r="BM154" s="48"/>
      <c r="BN154" s="37"/>
      <c r="BO154" s="48"/>
      <c r="BP154" s="39"/>
      <c r="BQ154" s="48"/>
      <c r="BR154" s="37"/>
      <c r="BS154" s="48"/>
      <c r="BT154" s="37"/>
      <c r="BU154" s="48"/>
      <c r="BV154" s="36"/>
      <c r="BW154" s="48"/>
      <c r="BX154" s="37"/>
      <c r="BY154" s="48"/>
      <c r="BZ154" s="37"/>
      <c r="CA154" s="48"/>
      <c r="CB154" s="37"/>
      <c r="CC154" s="48"/>
      <c r="CD154" s="37"/>
      <c r="CE154" s="48"/>
      <c r="CF154" s="37"/>
      <c r="CG154" s="48"/>
      <c r="CH154" s="37"/>
      <c r="CI154" s="48"/>
      <c r="CJ154" s="36"/>
      <c r="CK154" s="36"/>
      <c r="CL154" s="36"/>
      <c r="CM154" s="36"/>
      <c r="CN154" s="41"/>
      <c r="CO154" s="41"/>
      <c r="CP154" s="42">
        <f t="shared" si="181"/>
        <v>39</v>
      </c>
      <c r="CQ154" s="42">
        <f t="shared" si="181"/>
        <v>7803231.9564236794</v>
      </c>
    </row>
    <row r="155" spans="1:95" s="3" customFormat="1" ht="18.75" hidden="1" x14ac:dyDescent="0.25">
      <c r="A155" s="54"/>
      <c r="B155" s="98" t="s">
        <v>414</v>
      </c>
      <c r="C155" s="73" t="s">
        <v>415</v>
      </c>
      <c r="D155" s="99" t="s">
        <v>416</v>
      </c>
      <c r="E155" s="122"/>
      <c r="F155" s="122">
        <v>16828</v>
      </c>
      <c r="G155" s="73">
        <v>13.89</v>
      </c>
      <c r="H155" s="74">
        <v>3.49E-2</v>
      </c>
      <c r="I155" s="35">
        <v>1</v>
      </c>
      <c r="J155" s="111"/>
      <c r="K155" s="65"/>
      <c r="L155" s="65">
        <v>1.4</v>
      </c>
      <c r="M155" s="65">
        <v>1.68</v>
      </c>
      <c r="N155" s="65">
        <v>2.23</v>
      </c>
      <c r="O155" s="65">
        <v>2.57</v>
      </c>
      <c r="P155" s="36"/>
      <c r="Q155" s="48"/>
      <c r="R155" s="37"/>
      <c r="S155" s="48"/>
      <c r="T155" s="36"/>
      <c r="U155" s="48"/>
      <c r="V155" s="36">
        <f>11+32</f>
        <v>43</v>
      </c>
      <c r="W155" s="48">
        <f t="shared" si="182"/>
        <v>10191169.5594576</v>
      </c>
      <c r="X155" s="37"/>
      <c r="Y155" s="48"/>
      <c r="Z155" s="37"/>
      <c r="AA155" s="48"/>
      <c r="AB155" s="37"/>
      <c r="AC155" s="48"/>
      <c r="AD155" s="37"/>
      <c r="AE155" s="48"/>
      <c r="AF155" s="36">
        <f>13+16</f>
        <v>29</v>
      </c>
      <c r="AG155" s="48">
        <f t="shared" si="183"/>
        <v>6939353.7258897601</v>
      </c>
      <c r="AH155" s="37"/>
      <c r="AI155" s="48"/>
      <c r="AJ155" s="48">
        <v>0</v>
      </c>
      <c r="AK155" s="48">
        <v>0</v>
      </c>
      <c r="AL155" s="37"/>
      <c r="AM155" s="48"/>
      <c r="AN155" s="37"/>
      <c r="AO155" s="48"/>
      <c r="AP155" s="37"/>
      <c r="AQ155" s="48"/>
      <c r="AR155" s="37"/>
      <c r="AS155" s="48"/>
      <c r="AT155" s="37"/>
      <c r="AU155" s="48"/>
      <c r="AV155" s="37"/>
      <c r="AW155" s="48"/>
      <c r="AX155" s="37"/>
      <c r="AY155" s="48"/>
      <c r="AZ155" s="37"/>
      <c r="BA155" s="48"/>
      <c r="BB155" s="37"/>
      <c r="BC155" s="48"/>
      <c r="BD155" s="37"/>
      <c r="BE155" s="48"/>
      <c r="BF155" s="37"/>
      <c r="BG155" s="48"/>
      <c r="BH155" s="63"/>
      <c r="BI155" s="48"/>
      <c r="BJ155" s="37"/>
      <c r="BK155" s="48"/>
      <c r="BL155" s="37"/>
      <c r="BM155" s="48"/>
      <c r="BN155" s="37"/>
      <c r="BO155" s="48"/>
      <c r="BP155" s="39"/>
      <c r="BQ155" s="48"/>
      <c r="BR155" s="37"/>
      <c r="BS155" s="48"/>
      <c r="BT155" s="37"/>
      <c r="BU155" s="48"/>
      <c r="BV155" s="36"/>
      <c r="BW155" s="48"/>
      <c r="BX155" s="37"/>
      <c r="BY155" s="48"/>
      <c r="BZ155" s="37"/>
      <c r="CA155" s="48"/>
      <c r="CB155" s="37"/>
      <c r="CC155" s="48"/>
      <c r="CD155" s="37"/>
      <c r="CE155" s="48"/>
      <c r="CF155" s="37"/>
      <c r="CG155" s="48"/>
      <c r="CH155" s="37"/>
      <c r="CI155" s="48"/>
      <c r="CJ155" s="36"/>
      <c r="CK155" s="36"/>
      <c r="CL155" s="36"/>
      <c r="CM155" s="36"/>
      <c r="CN155" s="41"/>
      <c r="CO155" s="41"/>
      <c r="CP155" s="42">
        <f t="shared" si="181"/>
        <v>72</v>
      </c>
      <c r="CQ155" s="42">
        <f t="shared" si="181"/>
        <v>17130523.285347361</v>
      </c>
    </row>
    <row r="156" spans="1:95" s="3" customFormat="1" ht="60" hidden="1" x14ac:dyDescent="0.25">
      <c r="A156" s="54"/>
      <c r="B156" s="54">
        <v>100</v>
      </c>
      <c r="C156" s="73" t="s">
        <v>417</v>
      </c>
      <c r="D156" s="109" t="s">
        <v>418</v>
      </c>
      <c r="E156" s="110">
        <v>16026</v>
      </c>
      <c r="F156" s="110">
        <v>16828</v>
      </c>
      <c r="G156" s="73">
        <v>14.6</v>
      </c>
      <c r="H156" s="62">
        <v>0.1459</v>
      </c>
      <c r="I156" s="35">
        <v>1</v>
      </c>
      <c r="J156" s="111"/>
      <c r="K156" s="35"/>
      <c r="L156" s="65">
        <v>1.4</v>
      </c>
      <c r="M156" s="65">
        <v>1.68</v>
      </c>
      <c r="N156" s="65">
        <v>2.23</v>
      </c>
      <c r="O156" s="65">
        <v>2.57</v>
      </c>
      <c r="P156" s="65"/>
      <c r="Q156" s="48">
        <f t="shared" si="150"/>
        <v>0</v>
      </c>
      <c r="R156" s="65"/>
      <c r="S156" s="48">
        <f t="shared" si="151"/>
        <v>0</v>
      </c>
      <c r="T156" s="65"/>
      <c r="U156" s="48">
        <f t="shared" si="152"/>
        <v>0</v>
      </c>
      <c r="V156" s="36">
        <v>100</v>
      </c>
      <c r="W156" s="48">
        <f t="shared" si="153"/>
        <v>25796177.354933333</v>
      </c>
      <c r="X156" s="65"/>
      <c r="Y156" s="48">
        <f t="shared" si="154"/>
        <v>0</v>
      </c>
      <c r="Z156" s="65"/>
      <c r="AA156" s="48">
        <f t="shared" si="155"/>
        <v>0</v>
      </c>
      <c r="AB156" s="65"/>
      <c r="AC156" s="48"/>
      <c r="AD156" s="65"/>
      <c r="AE156" s="48">
        <f t="shared" si="156"/>
        <v>0</v>
      </c>
      <c r="AF156" s="122">
        <f>60+46</f>
        <v>106</v>
      </c>
      <c r="AG156" s="48">
        <f t="shared" si="157"/>
        <v>28399406.406923205</v>
      </c>
      <c r="AH156" s="65"/>
      <c r="AI156" s="48">
        <f t="shared" si="158"/>
        <v>0</v>
      </c>
      <c r="AJ156" s="48">
        <v>0</v>
      </c>
      <c r="AK156" s="48">
        <v>0</v>
      </c>
      <c r="AL156" s="65"/>
      <c r="AM156" s="48">
        <f t="shared" si="159"/>
        <v>0</v>
      </c>
      <c r="AN156" s="65"/>
      <c r="AO156" s="48">
        <f t="shared" si="160"/>
        <v>0</v>
      </c>
      <c r="AP156" s="65"/>
      <c r="AQ156" s="65"/>
      <c r="AR156" s="65"/>
      <c r="AS156" s="48"/>
      <c r="AT156" s="65"/>
      <c r="AU156" s="65"/>
      <c r="AV156" s="65"/>
      <c r="AW156" s="48"/>
      <c r="AX156" s="65"/>
      <c r="AY156" s="48"/>
      <c r="AZ156" s="65"/>
      <c r="BA156" s="48"/>
      <c r="BB156" s="65"/>
      <c r="BC156" s="48"/>
      <c r="BD156" s="65"/>
      <c r="BE156" s="48">
        <f t="shared" si="161"/>
        <v>0</v>
      </c>
      <c r="BF156" s="65"/>
      <c r="BG156" s="48">
        <f t="shared" si="162"/>
        <v>0</v>
      </c>
      <c r="BH156" s="65"/>
      <c r="BI156" s="48">
        <f t="shared" si="163"/>
        <v>0</v>
      </c>
      <c r="BJ156" s="65"/>
      <c r="BK156" s="48">
        <f t="shared" si="164"/>
        <v>0</v>
      </c>
      <c r="BL156" s="65"/>
      <c r="BM156" s="48">
        <f t="shared" si="165"/>
        <v>0</v>
      </c>
      <c r="BN156" s="65"/>
      <c r="BO156" s="48">
        <f t="shared" si="166"/>
        <v>0</v>
      </c>
      <c r="BP156" s="65"/>
      <c r="BQ156" s="48"/>
      <c r="BR156" s="65"/>
      <c r="BS156" s="48">
        <f t="shared" si="167"/>
        <v>0</v>
      </c>
      <c r="BT156" s="65"/>
      <c r="BU156" s="48">
        <f t="shared" si="168"/>
        <v>0</v>
      </c>
      <c r="BV156" s="65"/>
      <c r="BW156" s="48">
        <f t="shared" si="169"/>
        <v>0</v>
      </c>
      <c r="BX156" s="65"/>
      <c r="BY156" s="48">
        <f t="shared" si="170"/>
        <v>0</v>
      </c>
      <c r="BZ156" s="65"/>
      <c r="CA156" s="48">
        <f t="shared" si="171"/>
        <v>0</v>
      </c>
      <c r="CB156" s="65"/>
      <c r="CC156" s="48">
        <f t="shared" si="172"/>
        <v>0</v>
      </c>
      <c r="CD156" s="65"/>
      <c r="CE156" s="48">
        <f t="shared" si="173"/>
        <v>0</v>
      </c>
      <c r="CF156" s="65"/>
      <c r="CG156" s="48">
        <f t="shared" si="174"/>
        <v>0</v>
      </c>
      <c r="CH156" s="65"/>
      <c r="CI156" s="48">
        <f t="shared" si="175"/>
        <v>0</v>
      </c>
      <c r="CJ156" s="65"/>
      <c r="CK156" s="65"/>
      <c r="CL156" s="65"/>
      <c r="CM156" s="65"/>
      <c r="CN156" s="41"/>
      <c r="CO156" s="41"/>
      <c r="CP156" s="42">
        <f t="shared" si="181"/>
        <v>206</v>
      </c>
      <c r="CQ156" s="42">
        <f t="shared" si="181"/>
        <v>54195583.761856541</v>
      </c>
    </row>
    <row r="157" spans="1:95" s="3" customFormat="1" ht="45" hidden="1" x14ac:dyDescent="0.25">
      <c r="A157" s="54"/>
      <c r="B157" s="54">
        <v>101</v>
      </c>
      <c r="C157" s="73" t="s">
        <v>419</v>
      </c>
      <c r="D157" s="70" t="s">
        <v>420</v>
      </c>
      <c r="E157" s="110">
        <v>16026</v>
      </c>
      <c r="F157" s="110">
        <v>16828</v>
      </c>
      <c r="G157" s="73">
        <v>17.2</v>
      </c>
      <c r="H157" s="62">
        <v>3.5700000000000003E-2</v>
      </c>
      <c r="I157" s="35">
        <v>1</v>
      </c>
      <c r="J157" s="111"/>
      <c r="K157" s="35"/>
      <c r="L157" s="65">
        <v>1.4</v>
      </c>
      <c r="M157" s="65">
        <v>1.68</v>
      </c>
      <c r="N157" s="65">
        <v>2.23</v>
      </c>
      <c r="O157" s="65">
        <v>2.57</v>
      </c>
      <c r="P157" s="36"/>
      <c r="Q157" s="48">
        <f t="shared" si="150"/>
        <v>0</v>
      </c>
      <c r="R157" s="37"/>
      <c r="S157" s="48">
        <f t="shared" si="151"/>
        <v>0</v>
      </c>
      <c r="T157" s="36"/>
      <c r="U157" s="48">
        <f t="shared" si="152"/>
        <v>0</v>
      </c>
      <c r="V157" s="36">
        <f>27+10</f>
        <v>37</v>
      </c>
      <c r="W157" s="48">
        <f t="shared" si="153"/>
        <v>10775988.362245334</v>
      </c>
      <c r="X157" s="37"/>
      <c r="Y157" s="48">
        <f t="shared" si="154"/>
        <v>0</v>
      </c>
      <c r="Z157" s="37"/>
      <c r="AA157" s="48">
        <f t="shared" si="155"/>
        <v>0</v>
      </c>
      <c r="AB157" s="37"/>
      <c r="AC157" s="48"/>
      <c r="AD157" s="37"/>
      <c r="AE157" s="48">
        <f t="shared" si="156"/>
        <v>0</v>
      </c>
      <c r="AF157" s="36">
        <f>15+16</f>
        <v>31</v>
      </c>
      <c r="AG157" s="48">
        <f t="shared" si="157"/>
        <v>9117509.3696485329</v>
      </c>
      <c r="AH157" s="37"/>
      <c r="AI157" s="48">
        <f t="shared" si="158"/>
        <v>0</v>
      </c>
      <c r="AJ157" s="48">
        <v>0</v>
      </c>
      <c r="AK157" s="48">
        <v>0</v>
      </c>
      <c r="AL157" s="37"/>
      <c r="AM157" s="48">
        <f t="shared" si="159"/>
        <v>0</v>
      </c>
      <c r="AN157" s="37"/>
      <c r="AO157" s="48">
        <f t="shared" si="160"/>
        <v>0</v>
      </c>
      <c r="AP157" s="37"/>
      <c r="AQ157" s="48"/>
      <c r="AR157" s="37"/>
      <c r="AS157" s="48"/>
      <c r="AT157" s="37"/>
      <c r="AU157" s="48"/>
      <c r="AV157" s="37"/>
      <c r="AW157" s="48"/>
      <c r="AX157" s="37"/>
      <c r="AY157" s="48"/>
      <c r="AZ157" s="37"/>
      <c r="BA157" s="48"/>
      <c r="BB157" s="37"/>
      <c r="BC157" s="48"/>
      <c r="BD157" s="37"/>
      <c r="BE157" s="48">
        <f t="shared" si="161"/>
        <v>0</v>
      </c>
      <c r="BF157" s="37"/>
      <c r="BG157" s="48">
        <f t="shared" si="162"/>
        <v>0</v>
      </c>
      <c r="BH157" s="63"/>
      <c r="BI157" s="48">
        <f t="shared" si="163"/>
        <v>0</v>
      </c>
      <c r="BJ157" s="37"/>
      <c r="BK157" s="48">
        <f t="shared" si="164"/>
        <v>0</v>
      </c>
      <c r="BL157" s="37"/>
      <c r="BM157" s="48">
        <f t="shared" si="165"/>
        <v>0</v>
      </c>
      <c r="BN157" s="37"/>
      <c r="BO157" s="48">
        <f t="shared" si="166"/>
        <v>0</v>
      </c>
      <c r="BP157" s="39"/>
      <c r="BQ157" s="48"/>
      <c r="BR157" s="37"/>
      <c r="BS157" s="48">
        <f t="shared" si="167"/>
        <v>0</v>
      </c>
      <c r="BT157" s="37"/>
      <c r="BU157" s="48">
        <f t="shared" si="168"/>
        <v>0</v>
      </c>
      <c r="BV157" s="36"/>
      <c r="BW157" s="48">
        <f t="shared" si="169"/>
        <v>0</v>
      </c>
      <c r="BX157" s="37"/>
      <c r="BY157" s="48">
        <f t="shared" si="170"/>
        <v>0</v>
      </c>
      <c r="BZ157" s="37"/>
      <c r="CA157" s="48">
        <f t="shared" si="171"/>
        <v>0</v>
      </c>
      <c r="CB157" s="37"/>
      <c r="CC157" s="48">
        <f t="shared" si="172"/>
        <v>0</v>
      </c>
      <c r="CD157" s="37"/>
      <c r="CE157" s="48">
        <f t="shared" si="173"/>
        <v>0</v>
      </c>
      <c r="CF157" s="37"/>
      <c r="CG157" s="48">
        <f t="shared" si="174"/>
        <v>0</v>
      </c>
      <c r="CH157" s="37"/>
      <c r="CI157" s="48">
        <f t="shared" si="175"/>
        <v>0</v>
      </c>
      <c r="CJ157" s="36"/>
      <c r="CK157" s="36"/>
      <c r="CL157" s="36"/>
      <c r="CM157" s="36"/>
      <c r="CN157" s="41"/>
      <c r="CO157" s="41"/>
      <c r="CP157" s="42">
        <f t="shared" si="181"/>
        <v>68</v>
      </c>
      <c r="CQ157" s="42">
        <f t="shared" si="181"/>
        <v>19893497.731893867</v>
      </c>
    </row>
    <row r="158" spans="1:95" s="3" customFormat="1" ht="18.75" hidden="1" x14ac:dyDescent="0.25">
      <c r="A158" s="54"/>
      <c r="B158" s="98" t="s">
        <v>421</v>
      </c>
      <c r="C158" s="73" t="s">
        <v>422</v>
      </c>
      <c r="D158" s="70" t="s">
        <v>423</v>
      </c>
      <c r="E158" s="110"/>
      <c r="F158" s="110">
        <v>16828</v>
      </c>
      <c r="G158" s="73">
        <v>15.64</v>
      </c>
      <c r="H158" s="62">
        <v>3.5700000000000003E-2</v>
      </c>
      <c r="I158" s="35">
        <v>1</v>
      </c>
      <c r="J158" s="111"/>
      <c r="K158" s="35"/>
      <c r="L158" s="65">
        <v>1.4</v>
      </c>
      <c r="M158" s="65">
        <v>1.68</v>
      </c>
      <c r="N158" s="65">
        <v>2.23</v>
      </c>
      <c r="O158" s="65">
        <v>2.57</v>
      </c>
      <c r="P158" s="36"/>
      <c r="Q158" s="48"/>
      <c r="R158" s="37"/>
      <c r="S158" s="48"/>
      <c r="T158" s="36"/>
      <c r="U158" s="48"/>
      <c r="V158" s="36">
        <f>43+16</f>
        <v>59</v>
      </c>
      <c r="W158" s="48">
        <f t="shared" ref="W158:W168" si="184">(V158*$F158*$G158*((1-$H158)+$H158*$L158*$I158))</f>
        <v>15749948.051398402</v>
      </c>
      <c r="X158" s="37"/>
      <c r="Y158" s="48"/>
      <c r="Z158" s="37"/>
      <c r="AA158" s="48"/>
      <c r="AB158" s="37"/>
      <c r="AC158" s="48"/>
      <c r="AD158" s="37"/>
      <c r="AE158" s="48"/>
      <c r="AF158" s="36">
        <f>8+31</f>
        <v>39</v>
      </c>
      <c r="AG158" s="48">
        <f t="shared" ref="AG158:AG165" si="185">(AF158*$F158*$G158*((1-$H158)+$H158*$M158*$I158))</f>
        <v>10513585.62141888</v>
      </c>
      <c r="AH158" s="37"/>
      <c r="AI158" s="48"/>
      <c r="AJ158" s="48">
        <v>0</v>
      </c>
      <c r="AK158" s="48">
        <v>0</v>
      </c>
      <c r="AL158" s="37"/>
      <c r="AM158" s="48"/>
      <c r="AN158" s="37"/>
      <c r="AO158" s="48"/>
      <c r="AP158" s="37"/>
      <c r="AQ158" s="48"/>
      <c r="AR158" s="37"/>
      <c r="AS158" s="48"/>
      <c r="AT158" s="37"/>
      <c r="AU158" s="48"/>
      <c r="AV158" s="37"/>
      <c r="AW158" s="48"/>
      <c r="AX158" s="37"/>
      <c r="AY158" s="48"/>
      <c r="AZ158" s="37"/>
      <c r="BA158" s="48"/>
      <c r="BB158" s="37"/>
      <c r="BC158" s="48"/>
      <c r="BD158" s="37"/>
      <c r="BE158" s="48"/>
      <c r="BF158" s="37"/>
      <c r="BG158" s="48"/>
      <c r="BH158" s="63"/>
      <c r="BI158" s="48"/>
      <c r="BJ158" s="37"/>
      <c r="BK158" s="48"/>
      <c r="BL158" s="37"/>
      <c r="BM158" s="48"/>
      <c r="BN158" s="37"/>
      <c r="BO158" s="48"/>
      <c r="BP158" s="39"/>
      <c r="BQ158" s="48"/>
      <c r="BR158" s="37"/>
      <c r="BS158" s="48"/>
      <c r="BT158" s="37"/>
      <c r="BU158" s="48"/>
      <c r="BV158" s="36"/>
      <c r="BW158" s="48"/>
      <c r="BX158" s="37"/>
      <c r="BY158" s="48"/>
      <c r="BZ158" s="37"/>
      <c r="CA158" s="48"/>
      <c r="CB158" s="37"/>
      <c r="CC158" s="48"/>
      <c r="CD158" s="37"/>
      <c r="CE158" s="48"/>
      <c r="CF158" s="37"/>
      <c r="CG158" s="48"/>
      <c r="CH158" s="37"/>
      <c r="CI158" s="48"/>
      <c r="CJ158" s="36"/>
      <c r="CK158" s="36"/>
      <c r="CL158" s="36"/>
      <c r="CM158" s="36"/>
      <c r="CN158" s="41"/>
      <c r="CO158" s="41"/>
      <c r="CP158" s="42">
        <f t="shared" si="181"/>
        <v>98</v>
      </c>
      <c r="CQ158" s="42">
        <f t="shared" si="181"/>
        <v>26263533.672817282</v>
      </c>
    </row>
    <row r="159" spans="1:95" s="3" customFormat="1" ht="18.75" hidden="1" x14ac:dyDescent="0.25">
      <c r="A159" s="54"/>
      <c r="B159" s="98" t="s">
        <v>424</v>
      </c>
      <c r="C159" s="73" t="s">
        <v>425</v>
      </c>
      <c r="D159" s="70" t="s">
        <v>426</v>
      </c>
      <c r="E159" s="110"/>
      <c r="F159" s="110">
        <v>16828</v>
      </c>
      <c r="G159" s="73">
        <v>19.93</v>
      </c>
      <c r="H159" s="62">
        <v>3.5700000000000003E-2</v>
      </c>
      <c r="I159" s="35">
        <v>1</v>
      </c>
      <c r="J159" s="111"/>
      <c r="K159" s="35"/>
      <c r="L159" s="65">
        <v>1.4</v>
      </c>
      <c r="M159" s="65">
        <v>1.68</v>
      </c>
      <c r="N159" s="65">
        <v>2.23</v>
      </c>
      <c r="O159" s="65">
        <v>2.57</v>
      </c>
      <c r="P159" s="36"/>
      <c r="Q159" s="48"/>
      <c r="R159" s="37"/>
      <c r="S159" s="48"/>
      <c r="T159" s="36"/>
      <c r="U159" s="48"/>
      <c r="V159" s="36">
        <f>25+9</f>
        <v>34</v>
      </c>
      <c r="W159" s="48">
        <f t="shared" si="184"/>
        <v>11565824.048060801</v>
      </c>
      <c r="X159" s="37"/>
      <c r="Y159" s="48"/>
      <c r="Z159" s="37"/>
      <c r="AA159" s="48"/>
      <c r="AB159" s="37"/>
      <c r="AC159" s="48"/>
      <c r="AD159" s="37"/>
      <c r="AE159" s="48"/>
      <c r="AF159" s="36">
        <f>7+27</f>
        <v>34</v>
      </c>
      <c r="AG159" s="48">
        <f t="shared" si="185"/>
        <v>11679808.329703359</v>
      </c>
      <c r="AH159" s="37"/>
      <c r="AI159" s="48"/>
      <c r="AJ159" s="48">
        <v>0</v>
      </c>
      <c r="AK159" s="48">
        <v>0</v>
      </c>
      <c r="AL159" s="37"/>
      <c r="AM159" s="48"/>
      <c r="AN159" s="37"/>
      <c r="AO159" s="48"/>
      <c r="AP159" s="37"/>
      <c r="AQ159" s="48"/>
      <c r="AR159" s="37"/>
      <c r="AS159" s="48"/>
      <c r="AT159" s="37"/>
      <c r="AU159" s="48"/>
      <c r="AV159" s="37"/>
      <c r="AW159" s="48"/>
      <c r="AX159" s="37"/>
      <c r="AY159" s="48"/>
      <c r="AZ159" s="37"/>
      <c r="BA159" s="48"/>
      <c r="BB159" s="37"/>
      <c r="BC159" s="48"/>
      <c r="BD159" s="37"/>
      <c r="BE159" s="48"/>
      <c r="BF159" s="37"/>
      <c r="BG159" s="48"/>
      <c r="BH159" s="63"/>
      <c r="BI159" s="48"/>
      <c r="BJ159" s="37"/>
      <c r="BK159" s="48"/>
      <c r="BL159" s="37"/>
      <c r="BM159" s="48"/>
      <c r="BN159" s="37"/>
      <c r="BO159" s="48"/>
      <c r="BP159" s="39"/>
      <c r="BQ159" s="48"/>
      <c r="BR159" s="37"/>
      <c r="BS159" s="48"/>
      <c r="BT159" s="37"/>
      <c r="BU159" s="48"/>
      <c r="BV159" s="36"/>
      <c r="BW159" s="48"/>
      <c r="BX159" s="37"/>
      <c r="BY159" s="48"/>
      <c r="BZ159" s="37"/>
      <c r="CA159" s="48"/>
      <c r="CB159" s="37"/>
      <c r="CC159" s="48"/>
      <c r="CD159" s="37"/>
      <c r="CE159" s="48"/>
      <c r="CF159" s="37"/>
      <c r="CG159" s="48"/>
      <c r="CH159" s="37"/>
      <c r="CI159" s="48"/>
      <c r="CJ159" s="36"/>
      <c r="CK159" s="36"/>
      <c r="CL159" s="36"/>
      <c r="CM159" s="36"/>
      <c r="CN159" s="41"/>
      <c r="CO159" s="41"/>
      <c r="CP159" s="42">
        <f t="shared" si="181"/>
        <v>68</v>
      </c>
      <c r="CQ159" s="42">
        <f t="shared" si="181"/>
        <v>23245632.377764158</v>
      </c>
    </row>
    <row r="160" spans="1:95" s="3" customFormat="1" ht="45" hidden="1" x14ac:dyDescent="0.25">
      <c r="A160" s="54"/>
      <c r="B160" s="54">
        <v>102</v>
      </c>
      <c r="C160" s="73" t="s">
        <v>427</v>
      </c>
      <c r="D160" s="70" t="s">
        <v>428</v>
      </c>
      <c r="E160" s="110">
        <v>16026</v>
      </c>
      <c r="F160" s="110">
        <v>16828</v>
      </c>
      <c r="G160" s="73">
        <v>19.62</v>
      </c>
      <c r="H160" s="62">
        <v>4.9599999999999998E-2</v>
      </c>
      <c r="I160" s="35">
        <v>1</v>
      </c>
      <c r="J160" s="111"/>
      <c r="K160" s="35"/>
      <c r="L160" s="65">
        <v>1.4</v>
      </c>
      <c r="M160" s="65">
        <v>1.68</v>
      </c>
      <c r="N160" s="65">
        <v>2.23</v>
      </c>
      <c r="O160" s="65">
        <v>2.57</v>
      </c>
      <c r="P160" s="36"/>
      <c r="Q160" s="48">
        <f t="shared" si="150"/>
        <v>0</v>
      </c>
      <c r="R160" s="37"/>
      <c r="S160" s="48">
        <f t="shared" si="151"/>
        <v>0</v>
      </c>
      <c r="T160" s="36"/>
      <c r="U160" s="48">
        <f t="shared" si="152"/>
        <v>0</v>
      </c>
      <c r="V160" s="36">
        <f>19+19</f>
        <v>38</v>
      </c>
      <c r="W160" s="48">
        <f t="shared" si="153"/>
        <v>12693568.242854401</v>
      </c>
      <c r="X160" s="37"/>
      <c r="Y160" s="48">
        <f t="shared" si="154"/>
        <v>0</v>
      </c>
      <c r="Z160" s="37"/>
      <c r="AA160" s="48">
        <f t="shared" si="155"/>
        <v>0</v>
      </c>
      <c r="AB160" s="37"/>
      <c r="AC160" s="48"/>
      <c r="AD160" s="37"/>
      <c r="AE160" s="48">
        <f t="shared" si="156"/>
        <v>0</v>
      </c>
      <c r="AF160" s="36">
        <f>29+20</f>
        <v>49</v>
      </c>
      <c r="AG160" s="48">
        <f t="shared" si="157"/>
        <v>16590919.027415039</v>
      </c>
      <c r="AH160" s="37"/>
      <c r="AI160" s="48">
        <f t="shared" si="158"/>
        <v>0</v>
      </c>
      <c r="AJ160" s="48">
        <v>0</v>
      </c>
      <c r="AK160" s="48">
        <v>0</v>
      </c>
      <c r="AL160" s="37"/>
      <c r="AM160" s="48">
        <f t="shared" si="159"/>
        <v>0</v>
      </c>
      <c r="AN160" s="37"/>
      <c r="AO160" s="48">
        <f t="shared" si="160"/>
        <v>0</v>
      </c>
      <c r="AP160" s="37"/>
      <c r="AQ160" s="48"/>
      <c r="AR160" s="37"/>
      <c r="AS160" s="48"/>
      <c r="AT160" s="37"/>
      <c r="AU160" s="48"/>
      <c r="AV160" s="37"/>
      <c r="AW160" s="48"/>
      <c r="AX160" s="37"/>
      <c r="AY160" s="48"/>
      <c r="AZ160" s="37"/>
      <c r="BA160" s="48"/>
      <c r="BB160" s="37"/>
      <c r="BC160" s="48"/>
      <c r="BD160" s="37"/>
      <c r="BE160" s="48">
        <f t="shared" si="161"/>
        <v>0</v>
      </c>
      <c r="BF160" s="37"/>
      <c r="BG160" s="48">
        <f t="shared" si="162"/>
        <v>0</v>
      </c>
      <c r="BH160" s="63"/>
      <c r="BI160" s="48">
        <f t="shared" si="163"/>
        <v>0</v>
      </c>
      <c r="BJ160" s="37"/>
      <c r="BK160" s="48">
        <f t="shared" si="164"/>
        <v>0</v>
      </c>
      <c r="BL160" s="37"/>
      <c r="BM160" s="48">
        <f t="shared" si="165"/>
        <v>0</v>
      </c>
      <c r="BN160" s="37"/>
      <c r="BO160" s="48">
        <f t="shared" si="166"/>
        <v>0</v>
      </c>
      <c r="BP160" s="39"/>
      <c r="BQ160" s="48"/>
      <c r="BR160" s="37"/>
      <c r="BS160" s="48">
        <f t="shared" si="167"/>
        <v>0</v>
      </c>
      <c r="BT160" s="37"/>
      <c r="BU160" s="48">
        <f t="shared" si="168"/>
        <v>0</v>
      </c>
      <c r="BV160" s="36"/>
      <c r="BW160" s="48">
        <f t="shared" si="169"/>
        <v>0</v>
      </c>
      <c r="BX160" s="37"/>
      <c r="BY160" s="48">
        <f t="shared" si="170"/>
        <v>0</v>
      </c>
      <c r="BZ160" s="37"/>
      <c r="CA160" s="48">
        <f t="shared" si="171"/>
        <v>0</v>
      </c>
      <c r="CB160" s="37"/>
      <c r="CC160" s="48">
        <f t="shared" si="172"/>
        <v>0</v>
      </c>
      <c r="CD160" s="37"/>
      <c r="CE160" s="48">
        <f t="shared" si="173"/>
        <v>0</v>
      </c>
      <c r="CF160" s="37"/>
      <c r="CG160" s="48">
        <f t="shared" si="174"/>
        <v>0</v>
      </c>
      <c r="CH160" s="37"/>
      <c r="CI160" s="48">
        <f t="shared" si="175"/>
        <v>0</v>
      </c>
      <c r="CJ160" s="36"/>
      <c r="CK160" s="36"/>
      <c r="CL160" s="36"/>
      <c r="CM160" s="36"/>
      <c r="CN160" s="41"/>
      <c r="CO160" s="41"/>
      <c r="CP160" s="42">
        <f t="shared" si="181"/>
        <v>87</v>
      </c>
      <c r="CQ160" s="42">
        <f t="shared" si="181"/>
        <v>29284487.270269439</v>
      </c>
    </row>
    <row r="161" spans="1:95" s="3" customFormat="1" ht="18.75" hidden="1" x14ac:dyDescent="0.25">
      <c r="A161" s="54"/>
      <c r="B161" s="98" t="s">
        <v>429</v>
      </c>
      <c r="C161" s="73" t="s">
        <v>430</v>
      </c>
      <c r="D161" s="99" t="s">
        <v>431</v>
      </c>
      <c r="E161" s="122"/>
      <c r="F161" s="122">
        <v>16828</v>
      </c>
      <c r="G161" s="73">
        <v>18.690000000000001</v>
      </c>
      <c r="H161" s="74">
        <v>4.9599999999999998E-2</v>
      </c>
      <c r="I161" s="35">
        <v>1</v>
      </c>
      <c r="J161" s="111"/>
      <c r="K161" s="65"/>
      <c r="L161" s="65">
        <v>1.4</v>
      </c>
      <c r="M161" s="65">
        <v>1.68</v>
      </c>
      <c r="N161" s="65">
        <v>2.23</v>
      </c>
      <c r="O161" s="65">
        <v>2.57</v>
      </c>
      <c r="P161" s="36"/>
      <c r="Q161" s="48"/>
      <c r="R161" s="37"/>
      <c r="S161" s="48"/>
      <c r="T161" s="36"/>
      <c r="U161" s="48"/>
      <c r="V161" s="36">
        <f>30+14</f>
        <v>44</v>
      </c>
      <c r="W161" s="48">
        <f t="shared" si="184"/>
        <v>14113233.373747202</v>
      </c>
      <c r="X161" s="37"/>
      <c r="Y161" s="48"/>
      <c r="Z161" s="37"/>
      <c r="AA161" s="48"/>
      <c r="AB161" s="37"/>
      <c r="AC161" s="48"/>
      <c r="AD161" s="37"/>
      <c r="AE161" s="48"/>
      <c r="AF161" s="36">
        <f>12+29</f>
        <v>41</v>
      </c>
      <c r="AG161" s="48">
        <f t="shared" si="185"/>
        <v>13330055.001231361</v>
      </c>
      <c r="AH161" s="37"/>
      <c r="AI161" s="48"/>
      <c r="AJ161" s="48">
        <v>0</v>
      </c>
      <c r="AK161" s="48">
        <v>0</v>
      </c>
      <c r="AL161" s="37"/>
      <c r="AM161" s="48"/>
      <c r="AN161" s="37"/>
      <c r="AO161" s="48"/>
      <c r="AP161" s="37"/>
      <c r="AQ161" s="48"/>
      <c r="AR161" s="37"/>
      <c r="AS161" s="48"/>
      <c r="AT161" s="37"/>
      <c r="AU161" s="48"/>
      <c r="AV161" s="37"/>
      <c r="AW161" s="48"/>
      <c r="AX161" s="37"/>
      <c r="AY161" s="48"/>
      <c r="AZ161" s="37"/>
      <c r="BA161" s="48"/>
      <c r="BB161" s="37"/>
      <c r="BC161" s="48"/>
      <c r="BD161" s="37"/>
      <c r="BE161" s="48"/>
      <c r="BF161" s="37"/>
      <c r="BG161" s="48"/>
      <c r="BH161" s="63"/>
      <c r="BI161" s="48"/>
      <c r="BJ161" s="37"/>
      <c r="BK161" s="48"/>
      <c r="BL161" s="37"/>
      <c r="BM161" s="48"/>
      <c r="BN161" s="37"/>
      <c r="BO161" s="48"/>
      <c r="BP161" s="39"/>
      <c r="BQ161" s="48"/>
      <c r="BR161" s="37"/>
      <c r="BS161" s="48"/>
      <c r="BT161" s="37"/>
      <c r="BU161" s="48"/>
      <c r="BV161" s="36"/>
      <c r="BW161" s="48"/>
      <c r="BX161" s="37"/>
      <c r="BY161" s="48"/>
      <c r="BZ161" s="37"/>
      <c r="CA161" s="48"/>
      <c r="CB161" s="37"/>
      <c r="CC161" s="48"/>
      <c r="CD161" s="37"/>
      <c r="CE161" s="48"/>
      <c r="CF161" s="37"/>
      <c r="CG161" s="48"/>
      <c r="CH161" s="37"/>
      <c r="CI161" s="48"/>
      <c r="CJ161" s="36"/>
      <c r="CK161" s="36"/>
      <c r="CL161" s="36"/>
      <c r="CM161" s="36"/>
      <c r="CN161" s="41"/>
      <c r="CO161" s="41"/>
      <c r="CP161" s="42">
        <f t="shared" si="181"/>
        <v>85</v>
      </c>
      <c r="CQ161" s="42">
        <f t="shared" si="181"/>
        <v>27443288.374978565</v>
      </c>
    </row>
    <row r="162" spans="1:95" s="3" customFormat="1" ht="18.75" hidden="1" x14ac:dyDescent="0.25">
      <c r="A162" s="54"/>
      <c r="B162" s="98" t="s">
        <v>432</v>
      </c>
      <c r="C162" s="73" t="s">
        <v>433</v>
      </c>
      <c r="D162" s="99" t="s">
        <v>434</v>
      </c>
      <c r="E162" s="122"/>
      <c r="F162" s="122">
        <v>16828</v>
      </c>
      <c r="G162" s="73">
        <v>20.99</v>
      </c>
      <c r="H162" s="74">
        <v>4.9599999999999998E-2</v>
      </c>
      <c r="I162" s="35">
        <v>1</v>
      </c>
      <c r="J162" s="111"/>
      <c r="K162" s="65"/>
      <c r="L162" s="65">
        <v>1.4</v>
      </c>
      <c r="M162" s="65">
        <v>1.68</v>
      </c>
      <c r="N162" s="65">
        <v>2.23</v>
      </c>
      <c r="O162" s="65">
        <v>2.57</v>
      </c>
      <c r="P162" s="36"/>
      <c r="Q162" s="48"/>
      <c r="R162" s="37"/>
      <c r="S162" s="48"/>
      <c r="T162" s="36"/>
      <c r="U162" s="48"/>
      <c r="V162" s="36">
        <f>20+11</f>
        <v>31</v>
      </c>
      <c r="W162" s="48">
        <f t="shared" si="184"/>
        <v>11167055.5765888</v>
      </c>
      <c r="X162" s="37"/>
      <c r="Y162" s="48"/>
      <c r="Z162" s="37"/>
      <c r="AA162" s="48"/>
      <c r="AB162" s="37"/>
      <c r="AC162" s="48"/>
      <c r="AD162" s="37"/>
      <c r="AE162" s="48"/>
      <c r="AF162" s="36">
        <f>10+22</f>
        <v>32</v>
      </c>
      <c r="AG162" s="48">
        <f t="shared" si="185"/>
        <v>11684259.670917118</v>
      </c>
      <c r="AH162" s="37"/>
      <c r="AI162" s="48"/>
      <c r="AJ162" s="48">
        <v>0</v>
      </c>
      <c r="AK162" s="48">
        <v>0</v>
      </c>
      <c r="AL162" s="37"/>
      <c r="AM162" s="48"/>
      <c r="AN162" s="37"/>
      <c r="AO162" s="48"/>
      <c r="AP162" s="37"/>
      <c r="AQ162" s="48"/>
      <c r="AR162" s="37"/>
      <c r="AS162" s="48"/>
      <c r="AT162" s="37"/>
      <c r="AU162" s="48"/>
      <c r="AV162" s="37"/>
      <c r="AW162" s="48"/>
      <c r="AX162" s="37"/>
      <c r="AY162" s="48"/>
      <c r="AZ162" s="37"/>
      <c r="BA162" s="48"/>
      <c r="BB162" s="37"/>
      <c r="BC162" s="48"/>
      <c r="BD162" s="37"/>
      <c r="BE162" s="48"/>
      <c r="BF162" s="37"/>
      <c r="BG162" s="48"/>
      <c r="BH162" s="63"/>
      <c r="BI162" s="48"/>
      <c r="BJ162" s="37"/>
      <c r="BK162" s="48"/>
      <c r="BL162" s="37"/>
      <c r="BM162" s="48"/>
      <c r="BN162" s="37"/>
      <c r="BO162" s="48"/>
      <c r="BP162" s="39"/>
      <c r="BQ162" s="48"/>
      <c r="BR162" s="37"/>
      <c r="BS162" s="48"/>
      <c r="BT162" s="37"/>
      <c r="BU162" s="48"/>
      <c r="BV162" s="36"/>
      <c r="BW162" s="48"/>
      <c r="BX162" s="37"/>
      <c r="BY162" s="48"/>
      <c r="BZ162" s="37"/>
      <c r="CA162" s="48"/>
      <c r="CB162" s="37"/>
      <c r="CC162" s="48"/>
      <c r="CD162" s="37"/>
      <c r="CE162" s="48"/>
      <c r="CF162" s="37"/>
      <c r="CG162" s="48"/>
      <c r="CH162" s="37"/>
      <c r="CI162" s="48"/>
      <c r="CJ162" s="36"/>
      <c r="CK162" s="36"/>
      <c r="CL162" s="36"/>
      <c r="CM162" s="36"/>
      <c r="CN162" s="41"/>
      <c r="CO162" s="41"/>
      <c r="CP162" s="42">
        <f t="shared" si="181"/>
        <v>63</v>
      </c>
      <c r="CQ162" s="42">
        <f t="shared" si="181"/>
        <v>22851315.247505918</v>
      </c>
    </row>
    <row r="163" spans="1:95" s="3" customFormat="1" ht="45.75" hidden="1" customHeight="1" x14ac:dyDescent="0.25">
      <c r="A163" s="54"/>
      <c r="B163" s="54">
        <v>103</v>
      </c>
      <c r="C163" s="73" t="s">
        <v>435</v>
      </c>
      <c r="D163" s="55" t="s">
        <v>436</v>
      </c>
      <c r="E163" s="110">
        <v>16026</v>
      </c>
      <c r="F163" s="110">
        <v>16828</v>
      </c>
      <c r="G163" s="73">
        <v>24.93</v>
      </c>
      <c r="H163" s="62">
        <v>7.4899999999999994E-2</v>
      </c>
      <c r="I163" s="35">
        <v>1</v>
      </c>
      <c r="J163" s="111"/>
      <c r="K163" s="35"/>
      <c r="L163" s="65">
        <v>1.4</v>
      </c>
      <c r="M163" s="65">
        <v>1.68</v>
      </c>
      <c r="N163" s="65">
        <v>2.23</v>
      </c>
      <c r="O163" s="65">
        <v>2.57</v>
      </c>
      <c r="P163" s="36"/>
      <c r="Q163" s="48">
        <f t="shared" si="150"/>
        <v>0</v>
      </c>
      <c r="R163" s="37"/>
      <c r="S163" s="48">
        <f t="shared" si="151"/>
        <v>0</v>
      </c>
      <c r="T163" s="36"/>
      <c r="U163" s="48">
        <f t="shared" si="152"/>
        <v>0</v>
      </c>
      <c r="V163" s="36">
        <f>48+26</f>
        <v>74</v>
      </c>
      <c r="W163" s="48">
        <f t="shared" si="153"/>
        <v>31720749.298999202</v>
      </c>
      <c r="X163" s="37"/>
      <c r="Y163" s="48">
        <f t="shared" si="154"/>
        <v>0</v>
      </c>
      <c r="Z163" s="37"/>
      <c r="AA163" s="48">
        <f t="shared" si="155"/>
        <v>0</v>
      </c>
      <c r="AB163" s="37"/>
      <c r="AC163" s="48"/>
      <c r="AD163" s="37"/>
      <c r="AE163" s="48">
        <f t="shared" si="156"/>
        <v>0</v>
      </c>
      <c r="AF163" s="36">
        <f>34-3</f>
        <v>31</v>
      </c>
      <c r="AG163" s="48">
        <f t="shared" si="157"/>
        <v>13559000.265179161</v>
      </c>
      <c r="AH163" s="37"/>
      <c r="AI163" s="48">
        <f t="shared" si="158"/>
        <v>0</v>
      </c>
      <c r="AJ163" s="48">
        <v>0</v>
      </c>
      <c r="AK163" s="48">
        <v>0</v>
      </c>
      <c r="AL163" s="37"/>
      <c r="AM163" s="48">
        <f t="shared" si="159"/>
        <v>0</v>
      </c>
      <c r="AN163" s="37"/>
      <c r="AO163" s="48">
        <f t="shared" si="160"/>
        <v>0</v>
      </c>
      <c r="AP163" s="37"/>
      <c r="AQ163" s="48"/>
      <c r="AR163" s="37"/>
      <c r="AS163" s="48"/>
      <c r="AT163" s="37"/>
      <c r="AU163" s="48"/>
      <c r="AV163" s="37"/>
      <c r="AW163" s="48"/>
      <c r="AX163" s="37"/>
      <c r="AY163" s="48"/>
      <c r="AZ163" s="37"/>
      <c r="BA163" s="48"/>
      <c r="BB163" s="37"/>
      <c r="BC163" s="48"/>
      <c r="BD163" s="37"/>
      <c r="BE163" s="48">
        <f t="shared" si="161"/>
        <v>0</v>
      </c>
      <c r="BF163" s="37"/>
      <c r="BG163" s="48">
        <f t="shared" si="162"/>
        <v>0</v>
      </c>
      <c r="BH163" s="63"/>
      <c r="BI163" s="48">
        <f t="shared" si="163"/>
        <v>0</v>
      </c>
      <c r="BJ163" s="37"/>
      <c r="BK163" s="48">
        <f t="shared" si="164"/>
        <v>0</v>
      </c>
      <c r="BL163" s="37"/>
      <c r="BM163" s="48">
        <f t="shared" si="165"/>
        <v>0</v>
      </c>
      <c r="BN163" s="37"/>
      <c r="BO163" s="48">
        <f t="shared" si="166"/>
        <v>0</v>
      </c>
      <c r="BP163" s="39"/>
      <c r="BQ163" s="48"/>
      <c r="BR163" s="37"/>
      <c r="BS163" s="48">
        <f t="shared" si="167"/>
        <v>0</v>
      </c>
      <c r="BT163" s="37"/>
      <c r="BU163" s="48">
        <f t="shared" si="168"/>
        <v>0</v>
      </c>
      <c r="BV163" s="36"/>
      <c r="BW163" s="48">
        <f t="shared" si="169"/>
        <v>0</v>
      </c>
      <c r="BX163" s="37"/>
      <c r="BY163" s="48">
        <f t="shared" si="170"/>
        <v>0</v>
      </c>
      <c r="BZ163" s="37"/>
      <c r="CA163" s="48">
        <f t="shared" si="171"/>
        <v>0</v>
      </c>
      <c r="CB163" s="37"/>
      <c r="CC163" s="48">
        <f t="shared" si="172"/>
        <v>0</v>
      </c>
      <c r="CD163" s="37"/>
      <c r="CE163" s="48">
        <f t="shared" si="173"/>
        <v>0</v>
      </c>
      <c r="CF163" s="37"/>
      <c r="CG163" s="48">
        <f t="shared" si="174"/>
        <v>0</v>
      </c>
      <c r="CH163" s="37"/>
      <c r="CI163" s="48">
        <f t="shared" si="175"/>
        <v>0</v>
      </c>
      <c r="CJ163" s="36"/>
      <c r="CK163" s="36"/>
      <c r="CL163" s="36"/>
      <c r="CM163" s="36"/>
      <c r="CN163" s="41"/>
      <c r="CO163" s="41"/>
      <c r="CP163" s="42">
        <f t="shared" si="181"/>
        <v>105</v>
      </c>
      <c r="CQ163" s="42">
        <f t="shared" si="181"/>
        <v>45279749.564178362</v>
      </c>
    </row>
    <row r="164" spans="1:95" s="3" customFormat="1" ht="18.75" hidden="1" x14ac:dyDescent="0.25">
      <c r="A164" s="54"/>
      <c r="B164" s="98" t="s">
        <v>437</v>
      </c>
      <c r="C164" s="73" t="s">
        <v>438</v>
      </c>
      <c r="D164" s="99" t="s">
        <v>439</v>
      </c>
      <c r="E164" s="122"/>
      <c r="F164" s="122">
        <v>16828</v>
      </c>
      <c r="G164" s="73">
        <v>22.04</v>
      </c>
      <c r="H164" s="74">
        <v>7.4899999999999994E-2</v>
      </c>
      <c r="I164" s="35">
        <v>1</v>
      </c>
      <c r="J164" s="111"/>
      <c r="K164" s="65"/>
      <c r="L164" s="65">
        <v>1.4</v>
      </c>
      <c r="M164" s="65">
        <v>1.68</v>
      </c>
      <c r="N164" s="65">
        <v>2.23</v>
      </c>
      <c r="O164" s="65">
        <v>2.57</v>
      </c>
      <c r="P164" s="36"/>
      <c r="Q164" s="48"/>
      <c r="R164" s="37"/>
      <c r="S164" s="48"/>
      <c r="T164" s="36"/>
      <c r="U164" s="48"/>
      <c r="V164" s="36">
        <f>60+18</f>
        <v>78</v>
      </c>
      <c r="W164" s="48">
        <f t="shared" si="184"/>
        <v>29796074.726745598</v>
      </c>
      <c r="X164" s="37"/>
      <c r="Y164" s="48"/>
      <c r="Z164" s="37"/>
      <c r="AA164" s="48"/>
      <c r="AB164" s="37"/>
      <c r="AC164" s="48"/>
      <c r="AD164" s="37"/>
      <c r="AE164" s="48"/>
      <c r="AF164" s="36">
        <f>24+4</f>
        <v>28</v>
      </c>
      <c r="AG164" s="48">
        <f t="shared" si="185"/>
        <v>10913818.85047552</v>
      </c>
      <c r="AH164" s="37"/>
      <c r="AI164" s="48"/>
      <c r="AJ164" s="48">
        <v>0</v>
      </c>
      <c r="AK164" s="48">
        <v>0</v>
      </c>
      <c r="AL164" s="37"/>
      <c r="AM164" s="48"/>
      <c r="AN164" s="37"/>
      <c r="AO164" s="48"/>
      <c r="AP164" s="37"/>
      <c r="AQ164" s="48"/>
      <c r="AR164" s="37"/>
      <c r="AS164" s="48"/>
      <c r="AT164" s="37"/>
      <c r="AU164" s="48"/>
      <c r="AV164" s="37"/>
      <c r="AW164" s="48"/>
      <c r="AX164" s="37"/>
      <c r="AY164" s="48"/>
      <c r="AZ164" s="37"/>
      <c r="BA164" s="48"/>
      <c r="BB164" s="37"/>
      <c r="BC164" s="48"/>
      <c r="BD164" s="37"/>
      <c r="BE164" s="48"/>
      <c r="BF164" s="37"/>
      <c r="BG164" s="48"/>
      <c r="BH164" s="63"/>
      <c r="BI164" s="48"/>
      <c r="BJ164" s="37"/>
      <c r="BK164" s="48"/>
      <c r="BL164" s="37"/>
      <c r="BM164" s="48"/>
      <c r="BN164" s="37"/>
      <c r="BO164" s="48"/>
      <c r="BP164" s="39"/>
      <c r="BQ164" s="48"/>
      <c r="BR164" s="37"/>
      <c r="BS164" s="48"/>
      <c r="BT164" s="37"/>
      <c r="BU164" s="48"/>
      <c r="BV164" s="36"/>
      <c r="BW164" s="48"/>
      <c r="BX164" s="37"/>
      <c r="BY164" s="48"/>
      <c r="BZ164" s="37"/>
      <c r="CA164" s="48"/>
      <c r="CB164" s="37"/>
      <c r="CC164" s="48"/>
      <c r="CD164" s="37"/>
      <c r="CE164" s="48"/>
      <c r="CF164" s="37"/>
      <c r="CG164" s="48"/>
      <c r="CH164" s="37"/>
      <c r="CI164" s="48"/>
      <c r="CJ164" s="36"/>
      <c r="CK164" s="36"/>
      <c r="CL164" s="36"/>
      <c r="CM164" s="36"/>
      <c r="CN164" s="41"/>
      <c r="CO164" s="41"/>
      <c r="CP164" s="42">
        <f t="shared" si="181"/>
        <v>106</v>
      </c>
      <c r="CQ164" s="42">
        <f t="shared" si="181"/>
        <v>40709893.577221118</v>
      </c>
    </row>
    <row r="165" spans="1:95" s="3" customFormat="1" ht="18.75" hidden="1" x14ac:dyDescent="0.25">
      <c r="A165" s="54"/>
      <c r="B165" s="98" t="s">
        <v>440</v>
      </c>
      <c r="C165" s="73" t="s">
        <v>441</v>
      </c>
      <c r="D165" s="99" t="s">
        <v>442</v>
      </c>
      <c r="E165" s="122"/>
      <c r="F165" s="122">
        <v>16828</v>
      </c>
      <c r="G165" s="73">
        <v>26.64</v>
      </c>
      <c r="H165" s="74">
        <v>7.4899999999999994E-2</v>
      </c>
      <c r="I165" s="35">
        <v>1</v>
      </c>
      <c r="J165" s="111"/>
      <c r="K165" s="65"/>
      <c r="L165" s="65">
        <v>1.4</v>
      </c>
      <c r="M165" s="65">
        <v>1.68</v>
      </c>
      <c r="N165" s="65">
        <v>2.23</v>
      </c>
      <c r="O165" s="65">
        <v>2.57</v>
      </c>
      <c r="P165" s="36"/>
      <c r="Q165" s="48"/>
      <c r="R165" s="37"/>
      <c r="S165" s="48"/>
      <c r="T165" s="36"/>
      <c r="U165" s="48"/>
      <c r="V165" s="36">
        <f>101+31</f>
        <v>132</v>
      </c>
      <c r="W165" s="48">
        <f t="shared" si="184"/>
        <v>60948218.190182395</v>
      </c>
      <c r="X165" s="37"/>
      <c r="Y165" s="48"/>
      <c r="Z165" s="37"/>
      <c r="AA165" s="48"/>
      <c r="AB165" s="37"/>
      <c r="AC165" s="48"/>
      <c r="AD165" s="37"/>
      <c r="AE165" s="48"/>
      <c r="AF165" s="36">
        <f>29+13</f>
        <v>42</v>
      </c>
      <c r="AG165" s="48">
        <f t="shared" si="185"/>
        <v>19787486.445780478</v>
      </c>
      <c r="AH165" s="37"/>
      <c r="AI165" s="48"/>
      <c r="AJ165" s="48">
        <v>0</v>
      </c>
      <c r="AK165" s="48">
        <v>0</v>
      </c>
      <c r="AL165" s="37"/>
      <c r="AM165" s="48"/>
      <c r="AN165" s="37"/>
      <c r="AO165" s="48"/>
      <c r="AP165" s="37"/>
      <c r="AQ165" s="48"/>
      <c r="AR165" s="37"/>
      <c r="AS165" s="48"/>
      <c r="AT165" s="37"/>
      <c r="AU165" s="48"/>
      <c r="AV165" s="37"/>
      <c r="AW165" s="48"/>
      <c r="AX165" s="37"/>
      <c r="AY165" s="48"/>
      <c r="AZ165" s="37"/>
      <c r="BA165" s="48"/>
      <c r="BB165" s="37"/>
      <c r="BC165" s="48"/>
      <c r="BD165" s="37"/>
      <c r="BE165" s="48"/>
      <c r="BF165" s="37"/>
      <c r="BG165" s="48"/>
      <c r="BH165" s="63"/>
      <c r="BI165" s="48"/>
      <c r="BJ165" s="37"/>
      <c r="BK165" s="48"/>
      <c r="BL165" s="37"/>
      <c r="BM165" s="48"/>
      <c r="BN165" s="37"/>
      <c r="BO165" s="48"/>
      <c r="BP165" s="39"/>
      <c r="BQ165" s="48"/>
      <c r="BR165" s="37"/>
      <c r="BS165" s="48"/>
      <c r="BT165" s="37"/>
      <c r="BU165" s="48"/>
      <c r="BV165" s="36"/>
      <c r="BW165" s="48"/>
      <c r="BX165" s="37"/>
      <c r="BY165" s="48"/>
      <c r="BZ165" s="37"/>
      <c r="CA165" s="48"/>
      <c r="CB165" s="37"/>
      <c r="CC165" s="48"/>
      <c r="CD165" s="37"/>
      <c r="CE165" s="48"/>
      <c r="CF165" s="37"/>
      <c r="CG165" s="48"/>
      <c r="CH165" s="37"/>
      <c r="CI165" s="48"/>
      <c r="CJ165" s="36"/>
      <c r="CK165" s="36"/>
      <c r="CL165" s="36"/>
      <c r="CM165" s="36"/>
      <c r="CN165" s="41"/>
      <c r="CO165" s="41"/>
      <c r="CP165" s="42">
        <f t="shared" si="181"/>
        <v>174</v>
      </c>
      <c r="CQ165" s="42">
        <f t="shared" si="181"/>
        <v>80735704.635962874</v>
      </c>
    </row>
    <row r="166" spans="1:95" s="3" customFormat="1" ht="45" hidden="1" customHeight="1" x14ac:dyDescent="0.25">
      <c r="A166" s="54"/>
      <c r="B166" s="54">
        <v>104</v>
      </c>
      <c r="C166" s="73" t="s">
        <v>443</v>
      </c>
      <c r="D166" s="55" t="s">
        <v>444</v>
      </c>
      <c r="E166" s="110">
        <v>16026</v>
      </c>
      <c r="F166" s="110">
        <v>16828</v>
      </c>
      <c r="G166" s="73">
        <v>29.21</v>
      </c>
      <c r="H166" s="62">
        <v>5.7099999999999998E-2</v>
      </c>
      <c r="I166" s="35">
        <v>1</v>
      </c>
      <c r="J166" s="111"/>
      <c r="K166" s="35"/>
      <c r="L166" s="65">
        <v>1.4</v>
      </c>
      <c r="M166" s="65">
        <v>1.68</v>
      </c>
      <c r="N166" s="65">
        <v>2.23</v>
      </c>
      <c r="O166" s="65">
        <v>2.57</v>
      </c>
      <c r="P166" s="36"/>
      <c r="Q166" s="48">
        <f t="shared" si="150"/>
        <v>0</v>
      </c>
      <c r="R166" s="37"/>
      <c r="S166" s="48">
        <f t="shared" si="151"/>
        <v>0</v>
      </c>
      <c r="T166" s="36"/>
      <c r="U166" s="48">
        <f t="shared" si="152"/>
        <v>0</v>
      </c>
      <c r="V166" s="36">
        <f>26+13</f>
        <v>39</v>
      </c>
      <c r="W166" s="48">
        <f t="shared" si="153"/>
        <v>19452389.111755598</v>
      </c>
      <c r="X166" s="37"/>
      <c r="Y166" s="48">
        <f t="shared" si="154"/>
        <v>0</v>
      </c>
      <c r="Z166" s="37"/>
      <c r="AA166" s="48">
        <f t="shared" si="155"/>
        <v>0</v>
      </c>
      <c r="AB166" s="37"/>
      <c r="AC166" s="48"/>
      <c r="AD166" s="37"/>
      <c r="AE166" s="48">
        <f t="shared" si="156"/>
        <v>0</v>
      </c>
      <c r="AF166" s="36">
        <f>2+3</f>
        <v>5</v>
      </c>
      <c r="AG166" s="48">
        <f t="shared" si="157"/>
        <v>2532878.0996133997</v>
      </c>
      <c r="AH166" s="37"/>
      <c r="AI166" s="48">
        <f t="shared" si="158"/>
        <v>0</v>
      </c>
      <c r="AJ166" s="48">
        <v>0</v>
      </c>
      <c r="AK166" s="48">
        <v>0</v>
      </c>
      <c r="AL166" s="37"/>
      <c r="AM166" s="48">
        <f t="shared" si="159"/>
        <v>0</v>
      </c>
      <c r="AN166" s="37"/>
      <c r="AO166" s="48">
        <f t="shared" si="160"/>
        <v>0</v>
      </c>
      <c r="AP166" s="37"/>
      <c r="AQ166" s="48"/>
      <c r="AR166" s="37"/>
      <c r="AS166" s="48"/>
      <c r="AT166" s="37"/>
      <c r="AU166" s="48"/>
      <c r="AV166" s="37"/>
      <c r="AW166" s="48"/>
      <c r="AX166" s="37"/>
      <c r="AY166" s="48"/>
      <c r="AZ166" s="37"/>
      <c r="BA166" s="48"/>
      <c r="BB166" s="37"/>
      <c r="BC166" s="48"/>
      <c r="BD166" s="37"/>
      <c r="BE166" s="48">
        <f t="shared" si="161"/>
        <v>0</v>
      </c>
      <c r="BF166" s="37"/>
      <c r="BG166" s="48">
        <f t="shared" si="162"/>
        <v>0</v>
      </c>
      <c r="BH166" s="63"/>
      <c r="BI166" s="48">
        <f t="shared" si="163"/>
        <v>0</v>
      </c>
      <c r="BJ166" s="37"/>
      <c r="BK166" s="48">
        <f t="shared" si="164"/>
        <v>0</v>
      </c>
      <c r="BL166" s="37"/>
      <c r="BM166" s="48">
        <f t="shared" si="165"/>
        <v>0</v>
      </c>
      <c r="BN166" s="37"/>
      <c r="BO166" s="48">
        <f t="shared" si="166"/>
        <v>0</v>
      </c>
      <c r="BP166" s="39"/>
      <c r="BQ166" s="48"/>
      <c r="BR166" s="37"/>
      <c r="BS166" s="48">
        <f t="shared" si="167"/>
        <v>0</v>
      </c>
      <c r="BT166" s="37"/>
      <c r="BU166" s="48">
        <f t="shared" si="168"/>
        <v>0</v>
      </c>
      <c r="BV166" s="36"/>
      <c r="BW166" s="48">
        <f t="shared" si="169"/>
        <v>0</v>
      </c>
      <c r="BX166" s="37"/>
      <c r="BY166" s="48">
        <f t="shared" si="170"/>
        <v>0</v>
      </c>
      <c r="BZ166" s="37"/>
      <c r="CA166" s="48">
        <f t="shared" si="171"/>
        <v>0</v>
      </c>
      <c r="CB166" s="37"/>
      <c r="CC166" s="48">
        <f t="shared" si="172"/>
        <v>0</v>
      </c>
      <c r="CD166" s="37"/>
      <c r="CE166" s="48">
        <f t="shared" si="173"/>
        <v>0</v>
      </c>
      <c r="CF166" s="37"/>
      <c r="CG166" s="48">
        <f t="shared" si="174"/>
        <v>0</v>
      </c>
      <c r="CH166" s="37"/>
      <c r="CI166" s="48">
        <f t="shared" si="175"/>
        <v>0</v>
      </c>
      <c r="CJ166" s="36"/>
      <c r="CK166" s="36"/>
      <c r="CL166" s="36"/>
      <c r="CM166" s="36"/>
      <c r="CN166" s="41"/>
      <c r="CO166" s="41"/>
      <c r="CP166" s="42">
        <f t="shared" si="181"/>
        <v>44</v>
      </c>
      <c r="CQ166" s="42">
        <f t="shared" si="181"/>
        <v>21985267.211368997</v>
      </c>
    </row>
    <row r="167" spans="1:95" s="3" customFormat="1" ht="18.75" hidden="1" customHeight="1" x14ac:dyDescent="0.25">
      <c r="A167" s="54"/>
      <c r="B167" s="98" t="s">
        <v>445</v>
      </c>
      <c r="C167" s="73" t="s">
        <v>446</v>
      </c>
      <c r="D167" s="99" t="s">
        <v>447</v>
      </c>
      <c r="E167" s="122"/>
      <c r="F167" s="122">
        <v>16828</v>
      </c>
      <c r="G167" s="73">
        <v>28.38</v>
      </c>
      <c r="H167" s="74">
        <v>5.7099999999999998E-2</v>
      </c>
      <c r="I167" s="35">
        <v>1</v>
      </c>
      <c r="J167" s="111"/>
      <c r="K167" s="65"/>
      <c r="L167" s="65">
        <v>1.4</v>
      </c>
      <c r="M167" s="65">
        <v>1.68</v>
      </c>
      <c r="N167" s="65">
        <v>2.23</v>
      </c>
      <c r="O167" s="65">
        <v>2.57</v>
      </c>
      <c r="P167" s="36"/>
      <c r="Q167" s="48"/>
      <c r="R167" s="37"/>
      <c r="S167" s="48"/>
      <c r="T167" s="36"/>
      <c r="U167" s="48"/>
      <c r="V167" s="36">
        <f>43+42</f>
        <v>85</v>
      </c>
      <c r="W167" s="48">
        <f t="shared" si="184"/>
        <v>41521355.571695998</v>
      </c>
      <c r="X167" s="37"/>
      <c r="Y167" s="48"/>
      <c r="Z167" s="37"/>
      <c r="AA167" s="48"/>
      <c r="AB167" s="37"/>
      <c r="AC167" s="48"/>
      <c r="AD167" s="37"/>
      <c r="AE167" s="48"/>
      <c r="AF167" s="36">
        <v>20</v>
      </c>
      <c r="AG167" s="48">
        <f t="shared" ref="AG167:AG168" si="186">(AF167*$F167*$G167*((1-$H167)+$H167*$M167*$I167))</f>
        <v>9922441.2686783969</v>
      </c>
      <c r="AH167" s="37"/>
      <c r="AI167" s="48"/>
      <c r="AJ167" s="48">
        <v>0</v>
      </c>
      <c r="AK167" s="48">
        <v>0</v>
      </c>
      <c r="AL167" s="37"/>
      <c r="AM167" s="48"/>
      <c r="AN167" s="37"/>
      <c r="AO167" s="48"/>
      <c r="AP167" s="37"/>
      <c r="AQ167" s="48"/>
      <c r="AR167" s="37"/>
      <c r="AS167" s="48"/>
      <c r="AT167" s="37"/>
      <c r="AU167" s="48"/>
      <c r="AV167" s="37"/>
      <c r="AW167" s="48"/>
      <c r="AX167" s="37"/>
      <c r="AY167" s="48"/>
      <c r="AZ167" s="37"/>
      <c r="BA167" s="48"/>
      <c r="BB167" s="37"/>
      <c r="BC167" s="48"/>
      <c r="BD167" s="37"/>
      <c r="BE167" s="48"/>
      <c r="BF167" s="37"/>
      <c r="BG167" s="48"/>
      <c r="BH167" s="63"/>
      <c r="BI167" s="48"/>
      <c r="BJ167" s="37"/>
      <c r="BK167" s="48"/>
      <c r="BL167" s="37"/>
      <c r="BM167" s="48"/>
      <c r="BN167" s="37"/>
      <c r="BO167" s="48"/>
      <c r="BP167" s="39"/>
      <c r="BQ167" s="48"/>
      <c r="BR167" s="37"/>
      <c r="BS167" s="48"/>
      <c r="BT167" s="37"/>
      <c r="BU167" s="48"/>
      <c r="BV167" s="36"/>
      <c r="BW167" s="48"/>
      <c r="BX167" s="37"/>
      <c r="BY167" s="48"/>
      <c r="BZ167" s="37"/>
      <c r="CA167" s="48"/>
      <c r="CB167" s="37"/>
      <c r="CC167" s="48"/>
      <c r="CD167" s="37"/>
      <c r="CE167" s="48"/>
      <c r="CF167" s="37"/>
      <c r="CG167" s="48"/>
      <c r="CH167" s="37"/>
      <c r="CI167" s="48"/>
      <c r="CJ167" s="36"/>
      <c r="CK167" s="36"/>
      <c r="CL167" s="36"/>
      <c r="CM167" s="36"/>
      <c r="CN167" s="41"/>
      <c r="CO167" s="41"/>
      <c r="CP167" s="42">
        <f t="shared" si="181"/>
        <v>105</v>
      </c>
      <c r="CQ167" s="42">
        <f t="shared" si="181"/>
        <v>51443796.840374395</v>
      </c>
    </row>
    <row r="168" spans="1:95" s="3" customFormat="1" ht="18.75" hidden="1" customHeight="1" x14ac:dyDescent="0.25">
      <c r="A168" s="54"/>
      <c r="B168" s="98" t="s">
        <v>448</v>
      </c>
      <c r="C168" s="73" t="s">
        <v>449</v>
      </c>
      <c r="D168" s="99" t="s">
        <v>450</v>
      </c>
      <c r="E168" s="122"/>
      <c r="F168" s="122">
        <v>16828</v>
      </c>
      <c r="G168" s="73">
        <v>36.31</v>
      </c>
      <c r="H168" s="74">
        <v>5.7099999999999998E-2</v>
      </c>
      <c r="I168" s="35">
        <v>1</v>
      </c>
      <c r="J168" s="111"/>
      <c r="K168" s="65"/>
      <c r="L168" s="65">
        <v>1.4</v>
      </c>
      <c r="M168" s="65">
        <v>1.68</v>
      </c>
      <c r="N168" s="65">
        <v>2.23</v>
      </c>
      <c r="O168" s="65">
        <v>2.57</v>
      </c>
      <c r="P168" s="36"/>
      <c r="Q168" s="48"/>
      <c r="R168" s="37"/>
      <c r="S168" s="48"/>
      <c r="T168" s="36"/>
      <c r="U168" s="48"/>
      <c r="V168" s="36">
        <f>5+7</f>
        <v>12</v>
      </c>
      <c r="W168" s="48">
        <f t="shared" si="184"/>
        <v>7499765.8042943999</v>
      </c>
      <c r="X168" s="37"/>
      <c r="Y168" s="48"/>
      <c r="Z168" s="37"/>
      <c r="AA168" s="48"/>
      <c r="AB168" s="37"/>
      <c r="AC168" s="48"/>
      <c r="AD168" s="37"/>
      <c r="AE168" s="48"/>
      <c r="AF168" s="36">
        <v>2</v>
      </c>
      <c r="AG168" s="48">
        <f t="shared" si="186"/>
        <v>1269499.09255008</v>
      </c>
      <c r="AH168" s="37"/>
      <c r="AI168" s="48"/>
      <c r="AJ168" s="48">
        <v>0</v>
      </c>
      <c r="AK168" s="48">
        <v>0</v>
      </c>
      <c r="AL168" s="37"/>
      <c r="AM168" s="48"/>
      <c r="AN168" s="37"/>
      <c r="AO168" s="48"/>
      <c r="AP168" s="37"/>
      <c r="AQ168" s="48"/>
      <c r="AR168" s="37"/>
      <c r="AS168" s="48"/>
      <c r="AT168" s="37"/>
      <c r="AU168" s="48"/>
      <c r="AV168" s="37"/>
      <c r="AW168" s="48"/>
      <c r="AX168" s="37"/>
      <c r="AY168" s="48"/>
      <c r="AZ168" s="37"/>
      <c r="BA168" s="48"/>
      <c r="BB168" s="37"/>
      <c r="BC168" s="48"/>
      <c r="BD168" s="37"/>
      <c r="BE168" s="48"/>
      <c r="BF168" s="37"/>
      <c r="BG168" s="48"/>
      <c r="BH168" s="63"/>
      <c r="BI168" s="48"/>
      <c r="BJ168" s="37"/>
      <c r="BK168" s="48"/>
      <c r="BL168" s="37"/>
      <c r="BM168" s="48"/>
      <c r="BN168" s="37"/>
      <c r="BO168" s="48"/>
      <c r="BP168" s="39"/>
      <c r="BQ168" s="48"/>
      <c r="BR168" s="37"/>
      <c r="BS168" s="48"/>
      <c r="BT168" s="37"/>
      <c r="BU168" s="48"/>
      <c r="BV168" s="36"/>
      <c r="BW168" s="48"/>
      <c r="BX168" s="37"/>
      <c r="BY168" s="48"/>
      <c r="BZ168" s="37"/>
      <c r="CA168" s="48"/>
      <c r="CB168" s="37"/>
      <c r="CC168" s="48"/>
      <c r="CD168" s="37"/>
      <c r="CE168" s="48"/>
      <c r="CF168" s="37"/>
      <c r="CG168" s="48"/>
      <c r="CH168" s="37"/>
      <c r="CI168" s="48"/>
      <c r="CJ168" s="36"/>
      <c r="CK168" s="36"/>
      <c r="CL168" s="36"/>
      <c r="CM168" s="36"/>
      <c r="CN168" s="41"/>
      <c r="CO168" s="41"/>
      <c r="CP168" s="42">
        <f t="shared" si="181"/>
        <v>14</v>
      </c>
      <c r="CQ168" s="42">
        <f t="shared" si="181"/>
        <v>8769264.8968444802</v>
      </c>
    </row>
    <row r="169" spans="1:95" s="3" customFormat="1" ht="47.25" hidden="1" customHeight="1" x14ac:dyDescent="0.25">
      <c r="A169" s="54"/>
      <c r="B169" s="54">
        <v>105</v>
      </c>
      <c r="C169" s="73" t="s">
        <v>451</v>
      </c>
      <c r="D169" s="55" t="s">
        <v>452</v>
      </c>
      <c r="E169" s="110">
        <v>16026</v>
      </c>
      <c r="F169" s="110">
        <v>16828</v>
      </c>
      <c r="G169" s="73">
        <v>33.53</v>
      </c>
      <c r="H169" s="62">
        <v>3.0000000000000001E-3</v>
      </c>
      <c r="I169" s="35">
        <v>1</v>
      </c>
      <c r="J169" s="111"/>
      <c r="K169" s="35"/>
      <c r="L169" s="65">
        <v>1.4</v>
      </c>
      <c r="M169" s="65">
        <v>1.68</v>
      </c>
      <c r="N169" s="65">
        <v>2.23</v>
      </c>
      <c r="O169" s="65">
        <v>2.57</v>
      </c>
      <c r="P169" s="36"/>
      <c r="Q169" s="48">
        <f t="shared" si="150"/>
        <v>0</v>
      </c>
      <c r="R169" s="37"/>
      <c r="S169" s="48">
        <f t="shared" si="151"/>
        <v>0</v>
      </c>
      <c r="T169" s="36"/>
      <c r="U169" s="48">
        <f t="shared" si="152"/>
        <v>0</v>
      </c>
      <c r="V169" s="36">
        <v>125</v>
      </c>
      <c r="W169" s="48">
        <f t="shared" si="153"/>
        <v>70054088.732833326</v>
      </c>
      <c r="X169" s="37"/>
      <c r="Y169" s="48">
        <f t="shared" si="154"/>
        <v>0</v>
      </c>
      <c r="Z169" s="37"/>
      <c r="AA169" s="48">
        <f t="shared" si="155"/>
        <v>0</v>
      </c>
      <c r="AB169" s="37"/>
      <c r="AC169" s="48"/>
      <c r="AD169" s="37"/>
      <c r="AE169" s="48">
        <f t="shared" si="156"/>
        <v>0</v>
      </c>
      <c r="AF169" s="36">
        <v>42</v>
      </c>
      <c r="AG169" s="48">
        <f t="shared" si="157"/>
        <v>23557922.182194404</v>
      </c>
      <c r="AH169" s="37"/>
      <c r="AI169" s="48">
        <f t="shared" si="158"/>
        <v>0</v>
      </c>
      <c r="AJ169" s="48">
        <v>0</v>
      </c>
      <c r="AK169" s="48">
        <v>0</v>
      </c>
      <c r="AL169" s="37"/>
      <c r="AM169" s="48">
        <f t="shared" si="159"/>
        <v>0</v>
      </c>
      <c r="AN169" s="37"/>
      <c r="AO169" s="48">
        <f t="shared" si="160"/>
        <v>0</v>
      </c>
      <c r="AP169" s="37"/>
      <c r="AQ169" s="48"/>
      <c r="AR169" s="37"/>
      <c r="AS169" s="48"/>
      <c r="AT169" s="37"/>
      <c r="AU169" s="48"/>
      <c r="AV169" s="37"/>
      <c r="AW169" s="48"/>
      <c r="AX169" s="37"/>
      <c r="AY169" s="48"/>
      <c r="AZ169" s="37"/>
      <c r="BA169" s="48"/>
      <c r="BB169" s="37"/>
      <c r="BC169" s="48"/>
      <c r="BD169" s="37"/>
      <c r="BE169" s="48">
        <f t="shared" si="161"/>
        <v>0</v>
      </c>
      <c r="BF169" s="37"/>
      <c r="BG169" s="48">
        <f t="shared" si="162"/>
        <v>0</v>
      </c>
      <c r="BH169" s="63"/>
      <c r="BI169" s="48">
        <f t="shared" si="163"/>
        <v>0</v>
      </c>
      <c r="BJ169" s="37"/>
      <c r="BK169" s="48">
        <f t="shared" si="164"/>
        <v>0</v>
      </c>
      <c r="BL169" s="37"/>
      <c r="BM169" s="48">
        <f t="shared" si="165"/>
        <v>0</v>
      </c>
      <c r="BN169" s="37"/>
      <c r="BO169" s="48">
        <f t="shared" si="166"/>
        <v>0</v>
      </c>
      <c r="BP169" s="39"/>
      <c r="BQ169" s="48"/>
      <c r="BR169" s="37"/>
      <c r="BS169" s="48">
        <f t="shared" si="167"/>
        <v>0</v>
      </c>
      <c r="BT169" s="37"/>
      <c r="BU169" s="48">
        <f t="shared" si="168"/>
        <v>0</v>
      </c>
      <c r="BV169" s="36"/>
      <c r="BW169" s="48">
        <f t="shared" si="169"/>
        <v>0</v>
      </c>
      <c r="BX169" s="37"/>
      <c r="BY169" s="48">
        <f t="shared" si="170"/>
        <v>0</v>
      </c>
      <c r="BZ169" s="37"/>
      <c r="CA169" s="48">
        <f t="shared" si="171"/>
        <v>0</v>
      </c>
      <c r="CB169" s="37"/>
      <c r="CC169" s="48">
        <f t="shared" si="172"/>
        <v>0</v>
      </c>
      <c r="CD169" s="37"/>
      <c r="CE169" s="48">
        <f t="shared" si="173"/>
        <v>0</v>
      </c>
      <c r="CF169" s="37"/>
      <c r="CG169" s="48">
        <f t="shared" si="174"/>
        <v>0</v>
      </c>
      <c r="CH169" s="37"/>
      <c r="CI169" s="48">
        <f t="shared" si="175"/>
        <v>0</v>
      </c>
      <c r="CJ169" s="36"/>
      <c r="CK169" s="36"/>
      <c r="CL169" s="36"/>
      <c r="CM169" s="36"/>
      <c r="CN169" s="41"/>
      <c r="CO169" s="41"/>
      <c r="CP169" s="42">
        <f t="shared" si="181"/>
        <v>167</v>
      </c>
      <c r="CQ169" s="42">
        <f t="shared" si="181"/>
        <v>93612010.915027738</v>
      </c>
    </row>
    <row r="170" spans="1:95" s="3" customFormat="1" ht="45" hidden="1" customHeight="1" x14ac:dyDescent="0.25">
      <c r="A170" s="54"/>
      <c r="B170" s="54">
        <v>106</v>
      </c>
      <c r="C170" s="73" t="s">
        <v>453</v>
      </c>
      <c r="D170" s="55" t="s">
        <v>454</v>
      </c>
      <c r="E170" s="110">
        <v>16026</v>
      </c>
      <c r="F170" s="110">
        <v>16828</v>
      </c>
      <c r="G170" s="73">
        <v>60.69</v>
      </c>
      <c r="H170" s="62">
        <v>3.0999999999999999E-3</v>
      </c>
      <c r="I170" s="35">
        <v>1</v>
      </c>
      <c r="J170" s="111"/>
      <c r="K170" s="35"/>
      <c r="L170" s="65">
        <v>1.4</v>
      </c>
      <c r="M170" s="65">
        <v>1.68</v>
      </c>
      <c r="N170" s="65">
        <v>2.23</v>
      </c>
      <c r="O170" s="65">
        <v>2.57</v>
      </c>
      <c r="P170" s="36"/>
      <c r="Q170" s="48">
        <f t="shared" si="150"/>
        <v>0</v>
      </c>
      <c r="R170" s="37"/>
      <c r="S170" s="48">
        <f t="shared" si="151"/>
        <v>0</v>
      </c>
      <c r="T170" s="36"/>
      <c r="U170" s="48">
        <f t="shared" si="152"/>
        <v>0</v>
      </c>
      <c r="V170" s="36">
        <v>7</v>
      </c>
      <c r="W170" s="48">
        <f t="shared" si="153"/>
        <v>7101048.0245011989</v>
      </c>
      <c r="X170" s="37"/>
      <c r="Y170" s="48">
        <f t="shared" si="154"/>
        <v>0</v>
      </c>
      <c r="Z170" s="37"/>
      <c r="AA170" s="48">
        <f t="shared" si="155"/>
        <v>0</v>
      </c>
      <c r="AB170" s="37"/>
      <c r="AC170" s="48"/>
      <c r="AD170" s="37"/>
      <c r="AE170" s="48">
        <f t="shared" si="156"/>
        <v>0</v>
      </c>
      <c r="AF170" s="36">
        <v>8</v>
      </c>
      <c r="AG170" s="48">
        <f t="shared" si="157"/>
        <v>8122518.9721737588</v>
      </c>
      <c r="AH170" s="37"/>
      <c r="AI170" s="48">
        <f t="shared" si="158"/>
        <v>0</v>
      </c>
      <c r="AJ170" s="48">
        <v>0</v>
      </c>
      <c r="AK170" s="48">
        <v>0</v>
      </c>
      <c r="AL170" s="37"/>
      <c r="AM170" s="48">
        <f t="shared" si="159"/>
        <v>0</v>
      </c>
      <c r="AN170" s="37"/>
      <c r="AO170" s="48">
        <f t="shared" si="160"/>
        <v>0</v>
      </c>
      <c r="AP170" s="37"/>
      <c r="AQ170" s="48"/>
      <c r="AR170" s="37"/>
      <c r="AS170" s="48"/>
      <c r="AT170" s="37"/>
      <c r="AU170" s="48"/>
      <c r="AV170" s="37"/>
      <c r="AW170" s="48"/>
      <c r="AX170" s="37"/>
      <c r="AY170" s="48"/>
      <c r="AZ170" s="37"/>
      <c r="BA170" s="48"/>
      <c r="BB170" s="37"/>
      <c r="BC170" s="48"/>
      <c r="BD170" s="37"/>
      <c r="BE170" s="48">
        <f t="shared" si="161"/>
        <v>0</v>
      </c>
      <c r="BF170" s="37"/>
      <c r="BG170" s="48">
        <f t="shared" si="162"/>
        <v>0</v>
      </c>
      <c r="BH170" s="63"/>
      <c r="BI170" s="48">
        <f t="shared" si="163"/>
        <v>0</v>
      </c>
      <c r="BJ170" s="37"/>
      <c r="BK170" s="48">
        <f t="shared" si="164"/>
        <v>0</v>
      </c>
      <c r="BL170" s="37"/>
      <c r="BM170" s="48">
        <f t="shared" si="165"/>
        <v>0</v>
      </c>
      <c r="BN170" s="37"/>
      <c r="BO170" s="48">
        <f t="shared" si="166"/>
        <v>0</v>
      </c>
      <c r="BP170" s="39"/>
      <c r="BQ170" s="48"/>
      <c r="BR170" s="37"/>
      <c r="BS170" s="48">
        <f t="shared" si="167"/>
        <v>0</v>
      </c>
      <c r="BT170" s="37"/>
      <c r="BU170" s="48">
        <f t="shared" si="168"/>
        <v>0</v>
      </c>
      <c r="BV170" s="36"/>
      <c r="BW170" s="48">
        <f t="shared" si="169"/>
        <v>0</v>
      </c>
      <c r="BX170" s="37"/>
      <c r="BY170" s="48">
        <f t="shared" si="170"/>
        <v>0</v>
      </c>
      <c r="BZ170" s="37"/>
      <c r="CA170" s="48">
        <f t="shared" si="171"/>
        <v>0</v>
      </c>
      <c r="CB170" s="37"/>
      <c r="CC170" s="48">
        <f t="shared" si="172"/>
        <v>0</v>
      </c>
      <c r="CD170" s="37"/>
      <c r="CE170" s="48">
        <f t="shared" si="173"/>
        <v>0</v>
      </c>
      <c r="CF170" s="37"/>
      <c r="CG170" s="48">
        <f t="shared" si="174"/>
        <v>0</v>
      </c>
      <c r="CH170" s="37"/>
      <c r="CI170" s="48">
        <f t="shared" si="175"/>
        <v>0</v>
      </c>
      <c r="CJ170" s="36"/>
      <c r="CK170" s="36"/>
      <c r="CL170" s="36"/>
      <c r="CM170" s="36"/>
      <c r="CN170" s="41"/>
      <c r="CO170" s="41"/>
      <c r="CP170" s="42">
        <f t="shared" si="181"/>
        <v>15</v>
      </c>
      <c r="CQ170" s="42">
        <f t="shared" si="181"/>
        <v>15223566.996674959</v>
      </c>
    </row>
    <row r="171" spans="1:95" s="3" customFormat="1" ht="18.75" hidden="1" customHeight="1" x14ac:dyDescent="0.25">
      <c r="A171" s="143">
        <v>20</v>
      </c>
      <c r="B171" s="143"/>
      <c r="C171" s="144" t="s">
        <v>455</v>
      </c>
      <c r="D171" s="145" t="s">
        <v>456</v>
      </c>
      <c r="E171" s="110">
        <v>16026</v>
      </c>
      <c r="F171" s="134">
        <v>16828</v>
      </c>
      <c r="G171" s="138">
        <v>0.98</v>
      </c>
      <c r="H171" s="136"/>
      <c r="I171" s="146"/>
      <c r="J171" s="147"/>
      <c r="K171" s="100"/>
      <c r="L171" s="97">
        <v>1.4</v>
      </c>
      <c r="M171" s="97">
        <v>1.68</v>
      </c>
      <c r="N171" s="97">
        <v>2.23</v>
      </c>
      <c r="O171" s="97">
        <v>2.57</v>
      </c>
      <c r="P171" s="148">
        <f>SUM(P172:P177)</f>
        <v>357</v>
      </c>
      <c r="Q171" s="148">
        <f t="shared" ref="Q171:BH171" si="187">SUM(Q172:Q177)</f>
        <v>6573627.4706666674</v>
      </c>
      <c r="R171" s="148">
        <f t="shared" si="187"/>
        <v>0</v>
      </c>
      <c r="S171" s="148">
        <f t="shared" si="187"/>
        <v>0</v>
      </c>
      <c r="T171" s="148">
        <f t="shared" si="187"/>
        <v>0</v>
      </c>
      <c r="U171" s="148">
        <f t="shared" si="187"/>
        <v>0</v>
      </c>
      <c r="V171" s="148">
        <f t="shared" si="187"/>
        <v>0</v>
      </c>
      <c r="W171" s="148">
        <f t="shared" si="187"/>
        <v>0</v>
      </c>
      <c r="X171" s="148">
        <f t="shared" si="187"/>
        <v>0</v>
      </c>
      <c r="Y171" s="148">
        <f t="shared" si="187"/>
        <v>0</v>
      </c>
      <c r="Z171" s="148">
        <f t="shared" si="187"/>
        <v>0</v>
      </c>
      <c r="AA171" s="148">
        <f t="shared" si="187"/>
        <v>0</v>
      </c>
      <c r="AB171" s="148">
        <f t="shared" si="187"/>
        <v>0</v>
      </c>
      <c r="AC171" s="148">
        <f t="shared" si="187"/>
        <v>0</v>
      </c>
      <c r="AD171" s="148">
        <f t="shared" si="187"/>
        <v>0</v>
      </c>
      <c r="AE171" s="148">
        <f t="shared" si="187"/>
        <v>0</v>
      </c>
      <c r="AF171" s="148">
        <f t="shared" si="187"/>
        <v>0</v>
      </c>
      <c r="AG171" s="148">
        <f t="shared" si="187"/>
        <v>0</v>
      </c>
      <c r="AH171" s="148">
        <f>SUM(AH172:AH177)</f>
        <v>3</v>
      </c>
      <c r="AI171" s="148">
        <f t="shared" si="187"/>
        <v>62263.185599999997</v>
      </c>
      <c r="AJ171" s="148">
        <v>5</v>
      </c>
      <c r="AK171" s="148">
        <v>104602.85</v>
      </c>
      <c r="AL171" s="148">
        <f t="shared" si="187"/>
        <v>0</v>
      </c>
      <c r="AM171" s="148">
        <f t="shared" si="187"/>
        <v>0</v>
      </c>
      <c r="AN171" s="148">
        <f t="shared" si="187"/>
        <v>0</v>
      </c>
      <c r="AO171" s="148">
        <f t="shared" si="187"/>
        <v>0</v>
      </c>
      <c r="AP171" s="148">
        <f t="shared" si="187"/>
        <v>0</v>
      </c>
      <c r="AQ171" s="148">
        <f t="shared" si="187"/>
        <v>0</v>
      </c>
      <c r="AR171" s="148">
        <f t="shared" si="187"/>
        <v>0</v>
      </c>
      <c r="AS171" s="148">
        <f t="shared" si="187"/>
        <v>0</v>
      </c>
      <c r="AT171" s="148">
        <f t="shared" si="187"/>
        <v>0</v>
      </c>
      <c r="AU171" s="148">
        <f t="shared" si="187"/>
        <v>0</v>
      </c>
      <c r="AV171" s="148">
        <f t="shared" si="187"/>
        <v>10</v>
      </c>
      <c r="AW171" s="148">
        <f t="shared" si="187"/>
        <v>172953.29333333333</v>
      </c>
      <c r="AX171" s="148">
        <f t="shared" si="187"/>
        <v>0</v>
      </c>
      <c r="AY171" s="148">
        <f t="shared" si="187"/>
        <v>0</v>
      </c>
      <c r="AZ171" s="148">
        <f t="shared" si="187"/>
        <v>0</v>
      </c>
      <c r="BA171" s="148">
        <f>SUM(BA172:BA177)</f>
        <v>0</v>
      </c>
      <c r="BB171" s="148">
        <f t="shared" si="187"/>
        <v>0</v>
      </c>
      <c r="BC171" s="148">
        <f>SUM(BC172:BC177)</f>
        <v>0</v>
      </c>
      <c r="BD171" s="148">
        <f t="shared" si="187"/>
        <v>53</v>
      </c>
      <c r="BE171" s="148">
        <f t="shared" si="187"/>
        <v>916652.45466666669</v>
      </c>
      <c r="BF171" s="148">
        <f t="shared" si="187"/>
        <v>39</v>
      </c>
      <c r="BG171" s="148">
        <f t="shared" si="187"/>
        <v>1041646.2672</v>
      </c>
      <c r="BH171" s="148">
        <f t="shared" si="187"/>
        <v>585</v>
      </c>
      <c r="BI171" s="148">
        <f>SUM(BI172:BI177)</f>
        <v>15668446.516799999</v>
      </c>
      <c r="BJ171" s="148">
        <f t="shared" ref="BJ171:BT171" si="188">SUM(BJ172:BJ177)</f>
        <v>0</v>
      </c>
      <c r="BK171" s="148">
        <f t="shared" si="188"/>
        <v>0</v>
      </c>
      <c r="BL171" s="148">
        <f t="shared" si="188"/>
        <v>0</v>
      </c>
      <c r="BM171" s="148">
        <f t="shared" si="188"/>
        <v>0</v>
      </c>
      <c r="BN171" s="148">
        <f t="shared" si="188"/>
        <v>0</v>
      </c>
      <c r="BO171" s="148">
        <f>SUM(BO172:BO177)</f>
        <v>0</v>
      </c>
      <c r="BP171" s="148">
        <f t="shared" si="188"/>
        <v>0</v>
      </c>
      <c r="BQ171" s="148">
        <f>SUM(BQ172:BQ177)</f>
        <v>0</v>
      </c>
      <c r="BR171" s="148">
        <f t="shared" si="188"/>
        <v>25</v>
      </c>
      <c r="BS171" s="148">
        <f>SUM(BS172:BS177)</f>
        <v>435845.2</v>
      </c>
      <c r="BT171" s="148">
        <f t="shared" si="188"/>
        <v>0</v>
      </c>
      <c r="BU171" s="148">
        <f>SUM(BU172:BU177)</f>
        <v>0</v>
      </c>
      <c r="BV171" s="148">
        <f t="shared" ref="BV171:CQ171" si="189">SUM(BV172:BV177)</f>
        <v>3</v>
      </c>
      <c r="BW171" s="148">
        <f t="shared" si="189"/>
        <v>62263.185599999997</v>
      </c>
      <c r="BX171" s="148">
        <f t="shared" si="189"/>
        <v>3</v>
      </c>
      <c r="BY171" s="148">
        <f t="shared" si="189"/>
        <v>62263.185599999997</v>
      </c>
      <c r="BZ171" s="148">
        <f t="shared" si="189"/>
        <v>0</v>
      </c>
      <c r="CA171" s="148">
        <f t="shared" si="189"/>
        <v>0</v>
      </c>
      <c r="CB171" s="148">
        <f t="shared" si="189"/>
        <v>1</v>
      </c>
      <c r="CC171" s="148">
        <f t="shared" si="189"/>
        <v>20920.57</v>
      </c>
      <c r="CD171" s="148">
        <f t="shared" si="189"/>
        <v>2</v>
      </c>
      <c r="CE171" s="148">
        <f t="shared" si="189"/>
        <v>41508.790399999998</v>
      </c>
      <c r="CF171" s="148">
        <f t="shared" si="189"/>
        <v>10</v>
      </c>
      <c r="CG171" s="148">
        <f t="shared" si="189"/>
        <v>275489.88866666669</v>
      </c>
      <c r="CH171" s="148">
        <f t="shared" si="189"/>
        <v>3</v>
      </c>
      <c r="CI171" s="148">
        <f t="shared" si="189"/>
        <v>95247.849399999992</v>
      </c>
      <c r="CJ171" s="148">
        <f t="shared" si="189"/>
        <v>0</v>
      </c>
      <c r="CK171" s="148">
        <f t="shared" si="189"/>
        <v>0</v>
      </c>
      <c r="CL171" s="148">
        <f t="shared" si="189"/>
        <v>0</v>
      </c>
      <c r="CM171" s="148">
        <f t="shared" si="189"/>
        <v>0</v>
      </c>
      <c r="CN171" s="148">
        <f t="shared" si="189"/>
        <v>0</v>
      </c>
      <c r="CO171" s="148">
        <f t="shared" si="189"/>
        <v>0</v>
      </c>
      <c r="CP171" s="148">
        <f t="shared" si="189"/>
        <v>1099</v>
      </c>
      <c r="CQ171" s="148">
        <f t="shared" si="189"/>
        <v>25533730.707933333</v>
      </c>
    </row>
    <row r="172" spans="1:95" s="3" customFormat="1" ht="25.5" hidden="1" customHeight="1" x14ac:dyDescent="0.25">
      <c r="A172" s="54"/>
      <c r="B172" s="54">
        <v>107</v>
      </c>
      <c r="C172" s="55" t="s">
        <v>457</v>
      </c>
      <c r="D172" s="120" t="s">
        <v>458</v>
      </c>
      <c r="E172" s="110">
        <v>16026</v>
      </c>
      <c r="F172" s="110">
        <v>16828</v>
      </c>
      <c r="G172" s="33">
        <v>0.74</v>
      </c>
      <c r="H172" s="34"/>
      <c r="I172" s="35">
        <v>1</v>
      </c>
      <c r="J172" s="118">
        <v>1</v>
      </c>
      <c r="K172" s="35"/>
      <c r="L172" s="97">
        <v>1.4</v>
      </c>
      <c r="M172" s="97">
        <v>1.68</v>
      </c>
      <c r="N172" s="97">
        <v>2.23</v>
      </c>
      <c r="O172" s="97">
        <v>2.57</v>
      </c>
      <c r="P172" s="36">
        <v>325</v>
      </c>
      <c r="Q172" s="36">
        <f>SUM(P172/12*2*$E172*$G172*$I172*$L172*$Q$9)+(P172/12*10*$F172*$G172*$J172*$L172*$Q$9)</f>
        <v>5620982.0333333332</v>
      </c>
      <c r="R172" s="37"/>
      <c r="S172" s="36">
        <f>SUM(R172/12*2*$E172*$G172*$I172*$L172*S$9)+(R172/12*10*$F172*$G172*$J172*$L172*S$9)</f>
        <v>0</v>
      </c>
      <c r="T172" s="36"/>
      <c r="U172" s="36">
        <f>SUM(T172/12*2*$E172*$G172*$I172*$L172*U$9)+(T172/12*10*$F172*$G172*$J172*$L172*U$9)</f>
        <v>0</v>
      </c>
      <c r="V172" s="37"/>
      <c r="W172" s="36">
        <f>SUM(V172/12*2*$E172*$G172*$I172*$L172*$W$9)+(V172/12*10*$F172*$G172*$J172*$L172*$W$9)</f>
        <v>0</v>
      </c>
      <c r="X172" s="37"/>
      <c r="Y172" s="38">
        <f>SUM(X172/12*2*$E172*$G172*$I172*$L172*Y$9)+(X172/12*10*$F172*$G172*$J172*$L172*Y$9)</f>
        <v>0</v>
      </c>
      <c r="Z172" s="37"/>
      <c r="AA172" s="36"/>
      <c r="AB172" s="36">
        <v>0</v>
      </c>
      <c r="AC172" s="36">
        <f>(AB172/12*2*$E172*$G172*$I172*$L172)+(AB172/12*10*$F172*$G172*$J172*$L172)</f>
        <v>0</v>
      </c>
      <c r="AD172" s="37">
        <v>0</v>
      </c>
      <c r="AE172" s="36">
        <f>(AD172/12*2*$E172*$G172*$I172*$L172*AE$9)+(AD172/12*10*$F172*$G172*$J172*$L172*AE$9)</f>
        <v>0</v>
      </c>
      <c r="AF172" s="37">
        <v>0</v>
      </c>
      <c r="AG172" s="36">
        <f>(AF172/12*2*$E172*$G172*$I172*$M172*AG$9)+(AF172/12*10*$F172*$G172*$J172*$M172*AG$9)</f>
        <v>0</v>
      </c>
      <c r="AH172" s="58">
        <v>3</v>
      </c>
      <c r="AI172" s="36">
        <f>(AH172/12*2*$E172*$G172*$I172*$M172*$AI$9)+(AH172/12*10*$F172*$G172*$J172*$M172*$AI$9)</f>
        <v>62263.185599999997</v>
      </c>
      <c r="AJ172" s="36">
        <v>5</v>
      </c>
      <c r="AK172" s="36">
        <v>104602.85</v>
      </c>
      <c r="AL172" s="37"/>
      <c r="AM172" s="36">
        <f>SUM(AL172/12*2*$E172*$G172*$I172*$L172*AM$9)+(AL172/12*10*$F172*$G172*$J172*$L172*AM$9)</f>
        <v>0</v>
      </c>
      <c r="AN172" s="37"/>
      <c r="AO172" s="36">
        <f>SUM(AN172/12*2*$E172*$G172*$I172*$L172*$AE$9)+(AN172/12*10*$F172*$G172*$J172*$L172*$AE$9)</f>
        <v>0</v>
      </c>
      <c r="AP172" s="37"/>
      <c r="AQ172" s="36"/>
      <c r="AR172" s="37"/>
      <c r="AS172" s="36">
        <f>SUM(AR172/12*2*$E172*$G172*$I172*$L172*AS$9)+(AR172/12*10*$F172*$G172*$J172*$L172*AS$9)</f>
        <v>0</v>
      </c>
      <c r="AT172" s="37"/>
      <c r="AU172" s="36">
        <f>SUM(AT172/12*2*$E172*$G172*$I172*$L172*$AI$9)+(AT172/12*10*$F172*$G172*$J172*$L172*$AI$9)</f>
        <v>0</v>
      </c>
      <c r="AV172" s="36">
        <v>10</v>
      </c>
      <c r="AW172" s="36">
        <f>SUM(AV172/12*2*$E172*$G172*$I172*$L172*AW$9)+(AV172/12*10*$F172*$G172*$J172*$L172*AW$9)</f>
        <v>172953.29333333333</v>
      </c>
      <c r="AX172" s="37"/>
      <c r="AY172" s="36">
        <f>SUM(AX172/12*2*$E172*$G172*$I172*$L172*AY$9)+(AX172/12*10*$F172*$G172*$J172*$L172*AY$9)</f>
        <v>0</v>
      </c>
      <c r="AZ172" s="37"/>
      <c r="BA172" s="36">
        <f>SUM(AZ172/12*2*$E172*$G172*$I172*$L172*BA$9)+(AZ172/12*10*$F172*$G172*$J172*$L172*BA$9)</f>
        <v>0</v>
      </c>
      <c r="BB172" s="37"/>
      <c r="BC172" s="36">
        <f>SUM(BB172/12*2*$E172*$G172*$I172*$L172*BC$9)+(BB172/12*10*$F172*$G172*$J172*$L172*BC$9)</f>
        <v>0</v>
      </c>
      <c r="BD172" s="36">
        <v>53</v>
      </c>
      <c r="BE172" s="36">
        <f>SUM(BD172/12*2*$E172*$G172*$I172*$L172*BE$9)+(BD172/12*10*$F172*$G172*$J172*$L172*BE$9)</f>
        <v>916652.45466666669</v>
      </c>
      <c r="BF172" s="36">
        <v>27</v>
      </c>
      <c r="BG172" s="39">
        <f>(BF172/12*2*$E172*$G172*$I172*$M172*BG$9)+(BF172/12*10*$F172*$G172*$J172*$M172*BG$9)</f>
        <v>560368.67039999994</v>
      </c>
      <c r="BH172" s="63">
        <v>340</v>
      </c>
      <c r="BI172" s="36">
        <f>(BH172/12*2*$E172*$G172*$I172*$M172*BI$9)+(BH172/12*10*$F172*$G172*$J172*$M172*BI$9)</f>
        <v>7056494.3679999998</v>
      </c>
      <c r="BJ172" s="37"/>
      <c r="BK172" s="36">
        <f>(BJ172/12*2*$E172*$G172*$I172*$M172*BK$9)+(BJ172/12*10*$F172*$G172*$J172*$M172*BK$9)</f>
        <v>0</v>
      </c>
      <c r="BL172" s="37"/>
      <c r="BM172" s="36">
        <f>(BL172/12*2*$E172*$G172*$I172*$M172*BM$9)+(BL172/12*10*$F172*$G172*$J172*$M172*BM$9)</f>
        <v>0</v>
      </c>
      <c r="BN172" s="36"/>
      <c r="BO172" s="36">
        <f>(BN172/12*10*$F172*$G172*$J172*$M172*BO$9)</f>
        <v>0</v>
      </c>
      <c r="BP172" s="39"/>
      <c r="BQ172" s="36"/>
      <c r="BR172" s="58">
        <v>25</v>
      </c>
      <c r="BS172" s="36">
        <f>(BR172/12*10*$F172*$G172*$J172*$M172*BS$9)</f>
        <v>435845.2</v>
      </c>
      <c r="BT172" s="37"/>
      <c r="BU172" s="36"/>
      <c r="BV172" s="36">
        <v>3</v>
      </c>
      <c r="BW172" s="36">
        <f>(BV172/12*2*$E172*$G172*$I172*$M172*BW$9)+(BV172/12*10*$F172*$G172*$J172*$M172*BW$9)</f>
        <v>62263.185599999997</v>
      </c>
      <c r="BX172" s="36">
        <v>3</v>
      </c>
      <c r="BY172" s="36">
        <f>(BX172/12*2*$E172*$G172*$I172*$M172*BY$9)+(BX172/12*10*$F172*$G172*$J172*$M172*BY$9)</f>
        <v>62263.185599999997</v>
      </c>
      <c r="BZ172" s="37"/>
      <c r="CA172" s="36">
        <f>(BZ172/12*2*$E172*$G172*$I172*$M172*CA$9)+(BZ172/12*10*$F172*$G172*$J172*$M172*CA$9)</f>
        <v>0</v>
      </c>
      <c r="CB172" s="37">
        <v>1</v>
      </c>
      <c r="CC172" s="36">
        <v>20920.57</v>
      </c>
      <c r="CD172" s="36">
        <v>2</v>
      </c>
      <c r="CE172" s="36">
        <f>(CD172/12*2*$E172*$G172*$I172*$M172*CE$9)+(CD172/12*10*$F172*$G172*$J172*$M172*CE$9)</f>
        <v>41508.790399999998</v>
      </c>
      <c r="CF172" s="69">
        <v>10</v>
      </c>
      <c r="CG172" s="36">
        <f>(CF172/12*2*$E172*$G172*$I172*$N172*CG$9)+(CF172/12*10*$F172*$G172*$J172*$N172*CG$9)</f>
        <v>275489.88866666669</v>
      </c>
      <c r="CH172" s="58">
        <v>3</v>
      </c>
      <c r="CI172" s="36">
        <f>(CH172/12*2*$E172*$G172*$I172*$O172*$CI$9)+(CH172/12*10*$F172*$G172*$J172*$O172*$CI$9)</f>
        <v>95247.849399999992</v>
      </c>
      <c r="CJ172" s="36"/>
      <c r="CK172" s="36"/>
      <c r="CL172" s="36"/>
      <c r="CM172" s="36"/>
      <c r="CN172" s="41"/>
      <c r="CO172" s="41"/>
      <c r="CP172" s="42">
        <f t="shared" ref="CP172:CQ177" si="190">SUM(R172+P172+T172+V172+AB172+Z172+X172+AF172+AD172+AH172+AJ172+BF172+BJ172+AL172+AT172+AV172+BT172+BV172+BR172+BX172+BZ172+BN172+AN172+AP172+AR172+BH172+BL172+AX172+AZ172+BB172+BD172+BP172+CB172+CD172+CF172+CH172+CJ172+CL172)</f>
        <v>810</v>
      </c>
      <c r="CQ172" s="42">
        <f t="shared" si="190"/>
        <v>15487855.525000002</v>
      </c>
    </row>
    <row r="173" spans="1:95" s="3" customFormat="1" ht="45" hidden="1" customHeight="1" x14ac:dyDescent="0.25">
      <c r="A173" s="54"/>
      <c r="B173" s="54">
        <v>108</v>
      </c>
      <c r="C173" s="55" t="s">
        <v>459</v>
      </c>
      <c r="D173" s="120" t="s">
        <v>460</v>
      </c>
      <c r="E173" s="110">
        <v>16026</v>
      </c>
      <c r="F173" s="110">
        <v>16828</v>
      </c>
      <c r="G173" s="33">
        <v>1.1200000000000001</v>
      </c>
      <c r="H173" s="34"/>
      <c r="I173" s="35">
        <v>1</v>
      </c>
      <c r="J173" s="111"/>
      <c r="K173" s="35"/>
      <c r="L173" s="97">
        <v>1.4</v>
      </c>
      <c r="M173" s="97">
        <v>1.68</v>
      </c>
      <c r="N173" s="97">
        <v>2.23</v>
      </c>
      <c r="O173" s="97">
        <v>2.57</v>
      </c>
      <c r="P173" s="36">
        <v>25</v>
      </c>
      <c r="Q173" s="36">
        <f>SUM(P173/12*2*$E173*$G173*$I173*$L173*$Q$9)+(P173/12*10*$F173*$G173*$I173*$L173*$Q$9)</f>
        <v>654417.8666666667</v>
      </c>
      <c r="R173" s="37">
        <v>0</v>
      </c>
      <c r="S173" s="36">
        <f>SUM(R173/12*2*$E173*$G173*$I173*$L173*S$9)+(R173/12*10*$F173*$G173*$I173*$L173*S$9)</f>
        <v>0</v>
      </c>
      <c r="T173" s="36">
        <v>0</v>
      </c>
      <c r="U173" s="36">
        <f>SUM(T173/12*2*$E173*$G173*$I173*$L173*U$9)+(T173/12*10*$F173*$G173*$I173*$L173*U$9)</f>
        <v>0</v>
      </c>
      <c r="V173" s="37">
        <v>0</v>
      </c>
      <c r="W173" s="36">
        <f>SUM(V173/12*2*$E173*$G173*$I173*$L173*$W$9)+(V173/12*10*$F173*$G173*$I173*$L173*$W$9)</f>
        <v>0</v>
      </c>
      <c r="X173" s="37">
        <v>0</v>
      </c>
      <c r="Y173" s="38">
        <f>SUM(X173/12*2*$E173*$G173*$I173*$L173*Y$9)+(X173/12*10*$F173*$G173*$I173*$L173*Y$9)</f>
        <v>0</v>
      </c>
      <c r="Z173" s="37"/>
      <c r="AA173" s="36"/>
      <c r="AB173" s="37">
        <v>0</v>
      </c>
      <c r="AC173" s="36">
        <f>(AB173/12*2*$E173*$G173*$I173*$L173)+(AB173/12*10*$F173*$G173*$I173*$L173)</f>
        <v>0</v>
      </c>
      <c r="AD173" s="37">
        <v>0</v>
      </c>
      <c r="AE173" s="36">
        <f>(AD173/12*2*$E173*$G173*$I173*$L173*AE$9)+(AD173/12*10*$F173*$G173*$I173*$L173*AE$9)</f>
        <v>0</v>
      </c>
      <c r="AF173" s="37">
        <v>0</v>
      </c>
      <c r="AG173" s="36">
        <f>(AF173/12*2*$E173*$G173*$I173*$M173*AG$9)+(AF173/12*10*$F173*$G173*$I173*$M173*AG$9)</f>
        <v>0</v>
      </c>
      <c r="AH173" s="37">
        <v>0</v>
      </c>
      <c r="AI173" s="36">
        <f>(AH173/12*2*$E173*$G173*$I173*$M173*$AI$9)+(AH173/12*10*$F173*$G173*$I173*$M173*$AI$9)</f>
        <v>0</v>
      </c>
      <c r="AJ173" s="36">
        <v>0</v>
      </c>
      <c r="AK173" s="36">
        <v>0</v>
      </c>
      <c r="AL173" s="37"/>
      <c r="AM173" s="36">
        <f>SUM(AL173/12*2*$E173*$G173*$I173*$L173*AM$9)+(AL173/12*10*$F173*$G173*$I173*$L173*AM$9)</f>
        <v>0</v>
      </c>
      <c r="AN173" s="37">
        <v>0</v>
      </c>
      <c r="AO173" s="36">
        <f>SUM(AN173/12*2*$E173*$G173*$I173*$L173*$AE$9)+(AN173/12*10*$F173*$G173*$I173*$L173*$AE$9)</f>
        <v>0</v>
      </c>
      <c r="AP173" s="37"/>
      <c r="AQ173" s="36"/>
      <c r="AR173" s="37"/>
      <c r="AS173" s="36">
        <f>SUM(AR173/12*2*$E173*$G173*$I173*$L173*AS$9)+(AR173/12*10*$F173*$G173*$I173*$L173*AS$9)</f>
        <v>0</v>
      </c>
      <c r="AT173" s="37">
        <v>0</v>
      </c>
      <c r="AU173" s="36">
        <f>SUM(AT173/12*2*$E173*$G173*$I173*$L173*$AI$9)+(AT173/12*10*$F173*$G173*$I173*$L173*$AI$9)</f>
        <v>0</v>
      </c>
      <c r="AV173" s="37">
        <v>0</v>
      </c>
      <c r="AW173" s="36">
        <f>SUM(AV173/12*2*$E173*$G173*$I173*$L173*AW$9)+(AV173/12*10*$F173*$G173*$I173*$L173*AW$9)</f>
        <v>0</v>
      </c>
      <c r="AX173" s="37">
        <v>0</v>
      </c>
      <c r="AY173" s="36">
        <f>SUM(AX173/12*2*$E173*$G173*$I173*$L173*AY$9)+(AX173/12*10*$F173*$G173*$I173*$L173*AY$9)</f>
        <v>0</v>
      </c>
      <c r="AZ173" s="37">
        <v>0</v>
      </c>
      <c r="BA173" s="36">
        <f>SUM(AZ173/12*2*$E173*$G173*$I173*$L173*BA$9)+(AZ173/12*10*$F173*$G173*$I173*$L173*BA$9)</f>
        <v>0</v>
      </c>
      <c r="BB173" s="37">
        <v>0</v>
      </c>
      <c r="BC173" s="36">
        <f>SUM(BB173/12*2*$E173*$G173*$I173*$L173*BC$9)+(BB173/12*10*$F173*$G173*$I173*$L173*BC$9)</f>
        <v>0</v>
      </c>
      <c r="BD173" s="37"/>
      <c r="BE173" s="36">
        <f>SUM(BD173/12*2*$E173*$G173*$I173*$L173*BE$9)+(BD173/12*10*$F173*$G173*$I173*$L173*BE$9)</f>
        <v>0</v>
      </c>
      <c r="BF173" s="37">
        <v>7</v>
      </c>
      <c r="BG173" s="39">
        <f>(BF173/12*2*$E173*$G173*$I173*$M173*BG$9)+(BF173/12*10*$F173*$G173*$I173*$M173*BG$9)</f>
        <v>219884.40320000003</v>
      </c>
      <c r="BH173" s="63">
        <v>194</v>
      </c>
      <c r="BI173" s="36">
        <f>(BH173/12*2*$E173*$G173*$I173*$M173*BI$9)+(BH173/12*10*$F173*$G173*$I173*$M173*BI$9)</f>
        <v>6093939.1744000008</v>
      </c>
      <c r="BJ173" s="37">
        <v>0</v>
      </c>
      <c r="BK173" s="36">
        <f>(BJ173/12*2*$E173*$G173*$I173*$M173*BK$9)+(BJ173/12*10*$F173*$G173*$I173*$M173*BK$9)</f>
        <v>0</v>
      </c>
      <c r="BL173" s="37">
        <v>0</v>
      </c>
      <c r="BM173" s="36">
        <f>(BL173/12*2*$E173*$G173*$I173*$M173*BM$9)+(BL173/12*10*$F173*$G173*$I173*$M173*BM$9)</f>
        <v>0</v>
      </c>
      <c r="BN173" s="37">
        <v>0</v>
      </c>
      <c r="BO173" s="36">
        <f>(BN173/12*10*$F173*$G173*$I173*$M173*BO$9)</f>
        <v>0</v>
      </c>
      <c r="BP173" s="39"/>
      <c r="BQ173" s="36"/>
      <c r="BR173" s="36">
        <v>0</v>
      </c>
      <c r="BS173" s="36">
        <f>(BR173/12*10*$F173*$G173*$I173*$M173*BS$9)</f>
        <v>0</v>
      </c>
      <c r="BT173" s="37">
        <v>0</v>
      </c>
      <c r="BU173" s="36">
        <f>(BT173/12*2*$E173*$G173*$I173*$M173*BU$9)+(BT173/12*10*$F173*$G173*$I173*$M173*BU$9)</f>
        <v>0</v>
      </c>
      <c r="BV173" s="36">
        <v>0</v>
      </c>
      <c r="BW173" s="36">
        <f>(BV173/12*2*$E173*$G173*$I173*$M173*BW$9)+(BV173/12*10*$F173*$G173*$I173*$M173*BW$9)</f>
        <v>0</v>
      </c>
      <c r="BX173" s="37">
        <v>0</v>
      </c>
      <c r="BY173" s="36">
        <f>(BX173/12*2*$E173*$G173*$I173*$M173*BY$9)+(BX173/12*10*$F173*$G173*$I173*$M173*BY$9)</f>
        <v>0</v>
      </c>
      <c r="BZ173" s="37"/>
      <c r="CA173" s="36">
        <f>(BZ173/12*2*$E173*$G173*$I173*$M173*CA$9)+(BZ173/12*10*$F173*$G173*$I173*$M173*CA$9)</f>
        <v>0</v>
      </c>
      <c r="CB173" s="37"/>
      <c r="CC173" s="36">
        <f>(CB173/12*2*$E173*$G173*$I173*$M173*CC$9)+(CB173/12*10*$F173*$G173*$I173*$M173*CC$9)</f>
        <v>0</v>
      </c>
      <c r="CD173" s="37">
        <v>0</v>
      </c>
      <c r="CE173" s="36">
        <f>(CD173/12*2*$E173*$G173*$I173*$M173*CE$9)+(CD173/12*10*$F173*$G173*$I173*$M173*CE$9)</f>
        <v>0</v>
      </c>
      <c r="CF173" s="31">
        <v>0</v>
      </c>
      <c r="CG173" s="36">
        <f>(CF173/12*2*$E173*$G173*$I173*$N173*CG$9)+(CF173/12*10*$F173*$G173*$I173*$N173*CG$9)</f>
        <v>0</v>
      </c>
      <c r="CH173" s="37">
        <v>0</v>
      </c>
      <c r="CI173" s="36">
        <f>(CH173/12*2*$E173*$G173*$I173*$O173*$CI$9)+(CH173/12*10*$F173*$G173*$I173*$O173*$CI$9)</f>
        <v>0</v>
      </c>
      <c r="CJ173" s="36"/>
      <c r="CK173" s="36"/>
      <c r="CL173" s="36"/>
      <c r="CM173" s="36"/>
      <c r="CN173" s="41"/>
      <c r="CO173" s="41"/>
      <c r="CP173" s="42">
        <f t="shared" si="190"/>
        <v>226</v>
      </c>
      <c r="CQ173" s="42">
        <f t="shared" si="190"/>
        <v>6968241.4442666676</v>
      </c>
    </row>
    <row r="174" spans="1:95" s="3" customFormat="1" ht="45" hidden="1" customHeight="1" x14ac:dyDescent="0.25">
      <c r="A174" s="54"/>
      <c r="B174" s="54">
        <v>109</v>
      </c>
      <c r="C174" s="55" t="s">
        <v>461</v>
      </c>
      <c r="D174" s="120" t="s">
        <v>462</v>
      </c>
      <c r="E174" s="110">
        <v>16026</v>
      </c>
      <c r="F174" s="110">
        <v>16828</v>
      </c>
      <c r="G174" s="33">
        <v>1.66</v>
      </c>
      <c r="H174" s="34"/>
      <c r="I174" s="35">
        <v>1</v>
      </c>
      <c r="J174" s="111"/>
      <c r="K174" s="35"/>
      <c r="L174" s="97">
        <v>1.4</v>
      </c>
      <c r="M174" s="97">
        <v>1.68</v>
      </c>
      <c r="N174" s="97">
        <v>2.23</v>
      </c>
      <c r="O174" s="97">
        <v>2.57</v>
      </c>
      <c r="P174" s="36">
        <v>5</v>
      </c>
      <c r="Q174" s="36">
        <f>SUM(P174/12*2*$E174*$G174*$I174*$L174*$Q$9)+(P174/12*10*$F174*$G174*$I174*$L174*$Q$9)</f>
        <v>193988.15333333332</v>
      </c>
      <c r="R174" s="37">
        <v>0</v>
      </c>
      <c r="S174" s="36">
        <f>SUM(R174/12*2*$E174*$G174*$I174*$L174*S$9)+(R174/12*10*$F174*$G174*$I174*$L174*S$9)</f>
        <v>0</v>
      </c>
      <c r="T174" s="36">
        <v>0</v>
      </c>
      <c r="U174" s="36">
        <f>SUM(T174/12*2*$E174*$G174*$I174*$L174*U$9)+(T174/12*10*$F174*$G174*$I174*$L174*U$9)</f>
        <v>0</v>
      </c>
      <c r="V174" s="37">
        <v>0</v>
      </c>
      <c r="W174" s="36">
        <f>SUM(V174/12*2*$E174*$G174*$I174*$L174*$W$9)+(V174/12*10*$F174*$G174*$I174*$L174*$W$9)</f>
        <v>0</v>
      </c>
      <c r="X174" s="37">
        <v>0</v>
      </c>
      <c r="Y174" s="38">
        <f>SUM(X174/12*2*$E174*$G174*$I174*$L174*Y$9)+(X174/12*10*$F174*$G174*$I174*$L174*Y$9)</f>
        <v>0</v>
      </c>
      <c r="Z174" s="37"/>
      <c r="AA174" s="36"/>
      <c r="AB174" s="37">
        <v>0</v>
      </c>
      <c r="AC174" s="36">
        <f>(AB174/12*2*$E174*$G174*$I174*$L174)+(AB174/12*10*$F174*$G174*$I174*$L174)</f>
        <v>0</v>
      </c>
      <c r="AD174" s="37">
        <v>0</v>
      </c>
      <c r="AE174" s="36">
        <f>(AD174/12*2*$E174*$G174*$I174*$L174*AE$9)+(AD174/12*10*$F174*$G174*$I174*$L174*AE$9)</f>
        <v>0</v>
      </c>
      <c r="AF174" s="37">
        <v>0</v>
      </c>
      <c r="AG174" s="36">
        <f>(AF174/12*2*$E174*$G174*$I174*$M174*AG$9)+(AF174/12*10*$F174*$G174*$I174*$M174*AG$9)</f>
        <v>0</v>
      </c>
      <c r="AH174" s="37">
        <v>0</v>
      </c>
      <c r="AI174" s="36">
        <f>(AH174/12*2*$E174*$G174*$I174*$M174*$AI$9)+(AH174/12*10*$F174*$G174*$I174*$M174*$AI$9)</f>
        <v>0</v>
      </c>
      <c r="AJ174" s="36">
        <v>0</v>
      </c>
      <c r="AK174" s="36">
        <v>0</v>
      </c>
      <c r="AL174" s="37"/>
      <c r="AM174" s="36">
        <f>SUM(AL174/12*2*$E174*$G174*$I174*$L174*AM$9)+(AL174/12*10*$F174*$G174*$I174*$L174*AM$9)</f>
        <v>0</v>
      </c>
      <c r="AN174" s="37">
        <v>0</v>
      </c>
      <c r="AO174" s="36">
        <f>SUM(AN174/12*2*$E174*$G174*$I174*$L174*$AE$9)+(AN174/12*10*$F174*$G174*$I174*$L174*$AE$9)</f>
        <v>0</v>
      </c>
      <c r="AP174" s="37"/>
      <c r="AQ174" s="36"/>
      <c r="AR174" s="37"/>
      <c r="AS174" s="36">
        <f>SUM(AR174/12*2*$E174*$G174*$I174*$L174*AS$9)+(AR174/12*10*$F174*$G174*$I174*$L174*AS$9)</f>
        <v>0</v>
      </c>
      <c r="AT174" s="37">
        <v>0</v>
      </c>
      <c r="AU174" s="36">
        <f>SUM(AT174/12*2*$E174*$G174*$I174*$L174*$AI$9)+(AT174/12*10*$F174*$G174*$I174*$L174*$AI$9)</f>
        <v>0</v>
      </c>
      <c r="AV174" s="37">
        <v>0</v>
      </c>
      <c r="AW174" s="36">
        <f>SUM(AV174/12*2*$E174*$G174*$I174*$L174*AW$9)+(AV174/12*10*$F174*$G174*$I174*$L174*AW$9)</f>
        <v>0</v>
      </c>
      <c r="AX174" s="37">
        <v>0</v>
      </c>
      <c r="AY174" s="36">
        <f>SUM(AX174/12*2*$E174*$G174*$I174*$L174*AY$9)+(AX174/12*10*$F174*$G174*$I174*$L174*AY$9)</f>
        <v>0</v>
      </c>
      <c r="AZ174" s="37">
        <v>0</v>
      </c>
      <c r="BA174" s="36">
        <f>SUM(AZ174/12*2*$E174*$G174*$I174*$L174*BA$9)+(AZ174/12*10*$F174*$G174*$I174*$L174*BA$9)</f>
        <v>0</v>
      </c>
      <c r="BB174" s="37">
        <v>0</v>
      </c>
      <c r="BC174" s="36">
        <f>SUM(BB174/12*2*$E174*$G174*$I174*$L174*BC$9)+(BB174/12*10*$F174*$G174*$I174*$L174*BC$9)</f>
        <v>0</v>
      </c>
      <c r="BD174" s="37"/>
      <c r="BE174" s="36">
        <f>SUM(BD174/12*2*$E174*$G174*$I174*$L174*BE$9)+(BD174/12*10*$F174*$G174*$I174*$L174*BE$9)</f>
        <v>0</v>
      </c>
      <c r="BF174" s="37">
        <v>2</v>
      </c>
      <c r="BG174" s="39">
        <f>(BF174/12*2*$E174*$G174*$I174*$M174*BG$9)+(BF174/12*10*$F174*$G174*$I174*$M174*BG$9)</f>
        <v>93114.313599999979</v>
      </c>
      <c r="BH174" s="63">
        <v>40</v>
      </c>
      <c r="BI174" s="36">
        <f>(BH174/12*2*$E174*$G174*$I174*$M174*BI$9)+(BH174/12*10*$F174*$G174*$I174*$M174*BI$9)</f>
        <v>1862286.2720000001</v>
      </c>
      <c r="BJ174" s="37">
        <v>0</v>
      </c>
      <c r="BK174" s="36">
        <f>(BJ174/12*2*$E174*$G174*$I174*$M174*BK$9)+(BJ174/12*10*$F174*$G174*$I174*$M174*BK$9)</f>
        <v>0</v>
      </c>
      <c r="BL174" s="37">
        <v>0</v>
      </c>
      <c r="BM174" s="36">
        <f>(BL174/12*2*$E174*$G174*$I174*$M174*BM$9)+(BL174/12*10*$F174*$G174*$I174*$M174*BM$9)</f>
        <v>0</v>
      </c>
      <c r="BN174" s="37">
        <v>0</v>
      </c>
      <c r="BO174" s="36">
        <f>(BN174/12*10*$F174*$G174*$I174*$M174*BO$9)</f>
        <v>0</v>
      </c>
      <c r="BP174" s="39"/>
      <c r="BQ174" s="36"/>
      <c r="BR174" s="37">
        <v>0</v>
      </c>
      <c r="BS174" s="36">
        <f>(BR174/12*10*$F174*$G174*$I174*$M174*BS$9)</f>
        <v>0</v>
      </c>
      <c r="BT174" s="37">
        <v>0</v>
      </c>
      <c r="BU174" s="36">
        <f>(BT174/12*2*$E174*$G174*$I174*$M174*BU$9)+(BT174/12*10*$F174*$G174*$I174*$M174*BU$9)</f>
        <v>0</v>
      </c>
      <c r="BV174" s="36">
        <v>0</v>
      </c>
      <c r="BW174" s="36">
        <f>(BV174/12*2*$E174*$G174*$I174*$M174*BW$9)+(BV174/12*10*$F174*$G174*$I174*$M174*BW$9)</f>
        <v>0</v>
      </c>
      <c r="BX174" s="37">
        <v>0</v>
      </c>
      <c r="BY174" s="36">
        <f>(BX174/12*2*$E174*$G174*$I174*$M174*BY$9)+(BX174/12*10*$F174*$G174*$I174*$M174*BY$9)</f>
        <v>0</v>
      </c>
      <c r="BZ174" s="37"/>
      <c r="CA174" s="36">
        <f>(BZ174/12*2*$E174*$G174*$I174*$M174*CA$9)+(BZ174/12*10*$F174*$G174*$I174*$M174*CA$9)</f>
        <v>0</v>
      </c>
      <c r="CB174" s="37"/>
      <c r="CC174" s="36">
        <f>(CB174/12*2*$E174*$G174*$I174*$M174*CC$9)+(CB174/12*10*$F174*$G174*$I174*$M174*CC$9)</f>
        <v>0</v>
      </c>
      <c r="CD174" s="37">
        <v>0</v>
      </c>
      <c r="CE174" s="36">
        <f>(CD174/12*2*$E174*$G174*$I174*$M174*CE$9)+(CD174/12*10*$F174*$G174*$I174*$M174*CE$9)</f>
        <v>0</v>
      </c>
      <c r="CF174" s="31">
        <v>0</v>
      </c>
      <c r="CG174" s="36">
        <f>(CF174/12*2*$E174*$G174*$I174*$N174*CG$9)+(CF174/12*10*$F174*$G174*$I174*$N174*CG$9)</f>
        <v>0</v>
      </c>
      <c r="CH174" s="37">
        <v>0</v>
      </c>
      <c r="CI174" s="36">
        <f>(CH174/12*2*$E174*$G174*$I174*$O174*$CI$9)+(CH174/12*10*$F174*$G174*$I174*$O174*$CI$9)</f>
        <v>0</v>
      </c>
      <c r="CJ174" s="36"/>
      <c r="CK174" s="36"/>
      <c r="CL174" s="36"/>
      <c r="CM174" s="36"/>
      <c r="CN174" s="41"/>
      <c r="CO174" s="41"/>
      <c r="CP174" s="42">
        <f t="shared" si="190"/>
        <v>47</v>
      </c>
      <c r="CQ174" s="42">
        <f t="shared" si="190"/>
        <v>2149388.7389333332</v>
      </c>
    </row>
    <row r="175" spans="1:95" s="3" customFormat="1" ht="45" hidden="1" customHeight="1" x14ac:dyDescent="0.25">
      <c r="A175" s="54"/>
      <c r="B175" s="54">
        <v>110</v>
      </c>
      <c r="C175" s="55" t="s">
        <v>463</v>
      </c>
      <c r="D175" s="120" t="s">
        <v>464</v>
      </c>
      <c r="E175" s="110">
        <v>16026</v>
      </c>
      <c r="F175" s="110">
        <v>16828</v>
      </c>
      <c r="G175" s="75">
        <v>2</v>
      </c>
      <c r="H175" s="34"/>
      <c r="I175" s="35">
        <v>1</v>
      </c>
      <c r="J175" s="111"/>
      <c r="K175" s="35"/>
      <c r="L175" s="97">
        <v>1.4</v>
      </c>
      <c r="M175" s="97">
        <v>1.68</v>
      </c>
      <c r="N175" s="97">
        <v>2.23</v>
      </c>
      <c r="O175" s="97">
        <v>2.57</v>
      </c>
      <c r="P175" s="36">
        <v>1</v>
      </c>
      <c r="Q175" s="36">
        <f>SUM(P175/12*2*$E175*$G175*$I175*$L175*$Q$9)+(P175/12*10*$F175*$G175*$I175*$L175*$Q$9)</f>
        <v>46744.133333333331</v>
      </c>
      <c r="R175" s="37">
        <v>0</v>
      </c>
      <c r="S175" s="36">
        <f>SUM(R175/12*2*$E175*$G175*$I175*$L175*S$9)+(R175/12*10*$F175*$G175*$I175*$L175*S$9)</f>
        <v>0</v>
      </c>
      <c r="T175" s="36">
        <v>0</v>
      </c>
      <c r="U175" s="36">
        <f>SUM(T175/12*2*$E175*$G175*$I175*$L175*U$9)+(T175/12*10*$F175*$G175*$I175*$L175*U$9)</f>
        <v>0</v>
      </c>
      <c r="V175" s="37">
        <v>0</v>
      </c>
      <c r="W175" s="36">
        <f>SUM(V175/12*2*$E175*$G175*$I175*$L175*$W$9)+(V175/12*10*$F175*$G175*$I175*$L175*$W$9)</f>
        <v>0</v>
      </c>
      <c r="X175" s="37">
        <v>0</v>
      </c>
      <c r="Y175" s="38">
        <f>SUM(X175/12*2*$E175*$G175*$I175*$L175*Y$9)+(X175/12*10*$F175*$G175*$I175*$L175*Y$9)</f>
        <v>0</v>
      </c>
      <c r="Z175" s="37"/>
      <c r="AA175" s="36"/>
      <c r="AB175" s="37"/>
      <c r="AC175" s="36">
        <f>(AB175/12*2*$E175*$G175*$I175*$L175)+(AB175/12*10*$F175*$G175*$I175*$L175)</f>
        <v>0</v>
      </c>
      <c r="AD175" s="37">
        <v>0</v>
      </c>
      <c r="AE175" s="36">
        <f>(AD175/12*2*$E175*$G175*$I175*$L175*AE$9)+(AD175/12*10*$F175*$G175*$I175*$L175*AE$9)</f>
        <v>0</v>
      </c>
      <c r="AF175" s="37">
        <v>0</v>
      </c>
      <c r="AG175" s="36">
        <f>(AF175/12*2*$E175*$G175*$I175*$M175*AG$9)+(AF175/12*10*$F175*$G175*$I175*$M175*AG$9)</f>
        <v>0</v>
      </c>
      <c r="AH175" s="37">
        <v>0</v>
      </c>
      <c r="AI175" s="36">
        <f>(AH175/12*2*$E175*$G175*$I175*$M175*$AI$9)+(AH175/12*10*$F175*$G175*$I175*$M175*$AI$9)</f>
        <v>0</v>
      </c>
      <c r="AJ175" s="36">
        <v>0</v>
      </c>
      <c r="AK175" s="36">
        <v>0</v>
      </c>
      <c r="AL175" s="37"/>
      <c r="AM175" s="36">
        <f>SUM(AL175/12*2*$E175*$G175*$I175*$L175*AM$9)+(AL175/12*10*$F175*$G175*$I175*$L175*AM$9)</f>
        <v>0</v>
      </c>
      <c r="AN175" s="37">
        <v>0</v>
      </c>
      <c r="AO175" s="36">
        <f>SUM(AN175/12*2*$E175*$G175*$I175*$L175*$AE$9)+(AN175/12*10*$F175*$G175*$I175*$L175*$AE$9)</f>
        <v>0</v>
      </c>
      <c r="AP175" s="37"/>
      <c r="AQ175" s="36"/>
      <c r="AR175" s="37"/>
      <c r="AS175" s="36">
        <f>SUM(AR175/12*2*$E175*$G175*$I175*$L175*AS$9)+(AR175/12*10*$F175*$G175*$I175*$L175*AS$9)</f>
        <v>0</v>
      </c>
      <c r="AT175" s="37">
        <v>0</v>
      </c>
      <c r="AU175" s="36">
        <f>SUM(AT175/12*2*$E175*$G175*$I175*$L175*$AI$9)+(AT175/12*10*$F175*$G175*$I175*$L175*$AI$9)</f>
        <v>0</v>
      </c>
      <c r="AV175" s="37">
        <v>0</v>
      </c>
      <c r="AW175" s="36">
        <f>SUM(AV175/12*2*$E175*$G175*$I175*$L175*AW$9)+(AV175/12*10*$F175*$G175*$I175*$L175*AW$9)</f>
        <v>0</v>
      </c>
      <c r="AX175" s="37">
        <v>0</v>
      </c>
      <c r="AY175" s="36">
        <f>SUM(AX175/12*2*$E175*$G175*$I175*$L175*AY$9)+(AX175/12*10*$F175*$G175*$I175*$L175*AY$9)</f>
        <v>0</v>
      </c>
      <c r="AZ175" s="37">
        <v>0</v>
      </c>
      <c r="BA175" s="36">
        <f>SUM(AZ175/12*2*$E175*$G175*$I175*$L175*BA$9)+(AZ175/12*10*$F175*$G175*$I175*$L175*BA$9)</f>
        <v>0</v>
      </c>
      <c r="BB175" s="37">
        <v>0</v>
      </c>
      <c r="BC175" s="36">
        <f>SUM(BB175/12*2*$E175*$G175*$I175*$L175*BC$9)+(BB175/12*10*$F175*$G175*$I175*$L175*BC$9)</f>
        <v>0</v>
      </c>
      <c r="BD175" s="37"/>
      <c r="BE175" s="36">
        <f>SUM(BD175/12*2*$E175*$G175*$I175*$L175*BE$9)+(BD175/12*10*$F175*$G175*$I175*$L175*BE$9)</f>
        <v>0</v>
      </c>
      <c r="BF175" s="37">
        <v>3</v>
      </c>
      <c r="BG175" s="39">
        <f>(BF175/12*2*$E175*$G175*$I175*$M175*BG$9)+(BF175/12*10*$F175*$G175*$I175*$M175*BG$9)</f>
        <v>168278.87999999998</v>
      </c>
      <c r="BH175" s="63">
        <v>8</v>
      </c>
      <c r="BI175" s="36">
        <f>(BH175/12*2*$E175*$G175*$I175*$M175*BI$9)+(BH175/12*10*$F175*$G175*$I175*$M175*BI$9)</f>
        <v>448743.67999999993</v>
      </c>
      <c r="BJ175" s="40"/>
      <c r="BK175" s="36">
        <f>(BJ175/12*2*$E175*$G175*$I175*$M175*BK$9)+(BJ175/12*10*$F175*$G175*$I175*$M175*BK$9)</f>
        <v>0</v>
      </c>
      <c r="BL175" s="37">
        <v>0</v>
      </c>
      <c r="BM175" s="36">
        <f>(BL175/12*2*$E175*$G175*$I175*$M175*BM$9)+(BL175/12*10*$F175*$G175*$I175*$M175*BM$9)</f>
        <v>0</v>
      </c>
      <c r="BN175" s="37">
        <v>0</v>
      </c>
      <c r="BO175" s="36">
        <f>(BN175/12*10*$F175*$G175*$I175*$M175*BO$9)</f>
        <v>0</v>
      </c>
      <c r="BP175" s="39"/>
      <c r="BQ175" s="36"/>
      <c r="BR175" s="37">
        <v>0</v>
      </c>
      <c r="BS175" s="36">
        <f>(BR175/12*10*$F175*$G175*$I175*$M175*BS$9)</f>
        <v>0</v>
      </c>
      <c r="BT175" s="37">
        <v>0</v>
      </c>
      <c r="BU175" s="36">
        <f>(BT175/12*2*$E175*$G175*$I175*$M175*BU$9)+(BT175/12*10*$F175*$G175*$I175*$M175*BU$9)</f>
        <v>0</v>
      </c>
      <c r="BV175" s="36">
        <v>0</v>
      </c>
      <c r="BW175" s="36">
        <f>(BV175/12*2*$E175*$G175*$I175*$M175*BW$9)+(BV175/12*10*$F175*$G175*$I175*$M175*BW$9)</f>
        <v>0</v>
      </c>
      <c r="BX175" s="37">
        <v>0</v>
      </c>
      <c r="BY175" s="36">
        <f>(BX175/12*2*$E175*$G175*$I175*$M175*BY$9)+(BX175/12*10*$F175*$G175*$I175*$M175*BY$9)</f>
        <v>0</v>
      </c>
      <c r="BZ175" s="37"/>
      <c r="CA175" s="36">
        <f>(BZ175/12*2*$E175*$G175*$I175*$M175*CA$9)+(BZ175/12*10*$F175*$G175*$I175*$M175*CA$9)</f>
        <v>0</v>
      </c>
      <c r="CB175" s="37"/>
      <c r="CC175" s="36">
        <f>(CB175/12*2*$E175*$G175*$I175*$M175*CC$9)+(CB175/12*10*$F175*$G175*$I175*$M175*CC$9)</f>
        <v>0</v>
      </c>
      <c r="CD175" s="37">
        <v>0</v>
      </c>
      <c r="CE175" s="36">
        <f>(CD175/12*2*$E175*$G175*$I175*$M175*CE$9)+(CD175/12*10*$F175*$G175*$I175*$M175*CE$9)</f>
        <v>0</v>
      </c>
      <c r="CF175" s="31">
        <v>0</v>
      </c>
      <c r="CG175" s="36">
        <f>(CF175/12*2*$E175*$G175*$I175*$N175*CG$9)+(CF175/12*10*$F175*$G175*$I175*$N175*CG$9)</f>
        <v>0</v>
      </c>
      <c r="CH175" s="37">
        <v>0</v>
      </c>
      <c r="CI175" s="36">
        <f>(CH175/12*2*$E175*$G175*$I175*$O175*$CI$9)+(CH175/12*10*$F175*$G175*$I175*$O175*$CI$9)</f>
        <v>0</v>
      </c>
      <c r="CJ175" s="36"/>
      <c r="CK175" s="36"/>
      <c r="CL175" s="36"/>
      <c r="CM175" s="36"/>
      <c r="CN175" s="41"/>
      <c r="CO175" s="41"/>
      <c r="CP175" s="42">
        <f t="shared" si="190"/>
        <v>12</v>
      </c>
      <c r="CQ175" s="42">
        <f t="shared" si="190"/>
        <v>663766.69333333324</v>
      </c>
    </row>
    <row r="176" spans="1:95" s="3" customFormat="1" ht="45" hidden="1" customHeight="1" x14ac:dyDescent="0.25">
      <c r="A176" s="54"/>
      <c r="B176" s="54">
        <v>111</v>
      </c>
      <c r="C176" s="55" t="s">
        <v>465</v>
      </c>
      <c r="D176" s="120" t="s">
        <v>466</v>
      </c>
      <c r="E176" s="110">
        <v>16026</v>
      </c>
      <c r="F176" s="110">
        <v>16828</v>
      </c>
      <c r="G176" s="33">
        <v>2.46</v>
      </c>
      <c r="H176" s="34"/>
      <c r="I176" s="35">
        <v>1</v>
      </c>
      <c r="J176" s="111"/>
      <c r="K176" s="35"/>
      <c r="L176" s="97">
        <v>1.4</v>
      </c>
      <c r="M176" s="97">
        <v>1.68</v>
      </c>
      <c r="N176" s="97">
        <v>2.23</v>
      </c>
      <c r="O176" s="97">
        <v>2.57</v>
      </c>
      <c r="P176" s="36">
        <v>1</v>
      </c>
      <c r="Q176" s="36">
        <f>SUM(P176/12*2*$E176*$G176*$I176*$L176*$Q$9)+(P176/12*10*$F176*$G176*$I176*$L176*$Q$9)</f>
        <v>57495.283999999985</v>
      </c>
      <c r="R176" s="37">
        <v>0</v>
      </c>
      <c r="S176" s="36">
        <f>SUM(R176/12*2*$E176*$G176*$I176*$L176*S$9)+(R176/12*10*$F176*$G176*$I176*$L176*S$9)</f>
        <v>0</v>
      </c>
      <c r="T176" s="36"/>
      <c r="U176" s="36">
        <f>SUM(T176/12*2*$E176*$G176*$I176*$L176*U$9)+(T176/12*10*$F176*$G176*$I176*$L176*U$9)</f>
        <v>0</v>
      </c>
      <c r="V176" s="37">
        <v>0</v>
      </c>
      <c r="W176" s="36">
        <f>SUM(V176/12*2*$E176*$G176*$I176*$L176*$W$9)+(V176/12*10*$F176*$G176*$I176*$L176*$W$9)</f>
        <v>0</v>
      </c>
      <c r="X176" s="37">
        <v>0</v>
      </c>
      <c r="Y176" s="38">
        <f>SUM(X176/12*2*$E176*$G176*$I176*$L176*Y$9)+(X176/12*10*$F176*$G176*$I176*$L176*Y$9)</f>
        <v>0</v>
      </c>
      <c r="Z176" s="37"/>
      <c r="AA176" s="36"/>
      <c r="AB176" s="36"/>
      <c r="AC176" s="36">
        <f>(AB176/12*2*$E176*$G176*$I176*$L176)+(AB176/12*10*$F176*$G176*$I176*$L176)</f>
        <v>0</v>
      </c>
      <c r="AD176" s="37">
        <v>0</v>
      </c>
      <c r="AE176" s="36">
        <f>(AD176/12*2*$E176*$G176*$I176*$L176*AE$9)+(AD176/12*10*$F176*$G176*$I176*$L176*AE$9)</f>
        <v>0</v>
      </c>
      <c r="AF176" s="37">
        <v>0</v>
      </c>
      <c r="AG176" s="36">
        <f>(AF176/12*2*$E176*$G176*$I176*$M176*AG$9)+(AF176/12*10*$F176*$G176*$I176*$M176*AG$9)</f>
        <v>0</v>
      </c>
      <c r="AH176" s="37">
        <v>0</v>
      </c>
      <c r="AI176" s="36">
        <f>(AH176/12*2*$E176*$G176*$I176*$M176*$AI$9)+(AH176/12*10*$F176*$G176*$I176*$M176*$AI$9)</f>
        <v>0</v>
      </c>
      <c r="AJ176" s="36">
        <v>0</v>
      </c>
      <c r="AK176" s="36">
        <v>0</v>
      </c>
      <c r="AL176" s="37"/>
      <c r="AM176" s="36">
        <f>SUM(AL176/12*2*$E176*$G176*$I176*$L176*AM$9)+(AL176/12*10*$F176*$G176*$I176*$L176*AM$9)</f>
        <v>0</v>
      </c>
      <c r="AN176" s="37">
        <v>0</v>
      </c>
      <c r="AO176" s="36">
        <f>SUM(AN176/12*2*$E176*$G176*$I176*$L176*$AE$9)+(AN176/12*10*$F176*$G176*$I176*$L176*$AE$9)</f>
        <v>0</v>
      </c>
      <c r="AP176" s="37"/>
      <c r="AQ176" s="36"/>
      <c r="AR176" s="37"/>
      <c r="AS176" s="36">
        <f>SUM(AR176/12*2*$E176*$G176*$I176*$L176*AS$9)+(AR176/12*10*$F176*$G176*$I176*$L176*AS$9)</f>
        <v>0</v>
      </c>
      <c r="AT176" s="37">
        <v>0</v>
      </c>
      <c r="AU176" s="36">
        <f>SUM(AT176/12*2*$E176*$G176*$I176*$L176*$AI$9)+(AT176/12*10*$F176*$G176*$I176*$L176*$AI$9)</f>
        <v>0</v>
      </c>
      <c r="AV176" s="37">
        <v>0</v>
      </c>
      <c r="AW176" s="36">
        <f>SUM(AV176/12*2*$E176*$G176*$I176*$L176*AW$9)+(AV176/12*10*$F176*$G176*$I176*$L176*AW$9)</f>
        <v>0</v>
      </c>
      <c r="AX176" s="37">
        <v>0</v>
      </c>
      <c r="AY176" s="36">
        <f>SUM(AX176/12*2*$E176*$G176*$I176*$L176*AY$9)+(AX176/12*10*$F176*$G176*$I176*$L176*AY$9)</f>
        <v>0</v>
      </c>
      <c r="AZ176" s="37">
        <v>0</v>
      </c>
      <c r="BA176" s="36">
        <f>SUM(AZ176/12*2*$E176*$G176*$I176*$L176*BA$9)+(AZ176/12*10*$F176*$G176*$I176*$L176*BA$9)</f>
        <v>0</v>
      </c>
      <c r="BB176" s="37">
        <v>0</v>
      </c>
      <c r="BC176" s="36">
        <f>SUM(BB176/12*2*$E176*$G176*$I176*$L176*BC$9)+(BB176/12*10*$F176*$G176*$I176*$L176*BC$9)</f>
        <v>0</v>
      </c>
      <c r="BD176" s="37"/>
      <c r="BE176" s="36">
        <f>SUM(BD176/12*2*$E176*$G176*$I176*$L176*BE$9)+(BD176/12*10*$F176*$G176*$I176*$L176*BE$9)</f>
        <v>0</v>
      </c>
      <c r="BF176" s="37">
        <v>0</v>
      </c>
      <c r="BG176" s="39">
        <f>(BF176/12*2*$E176*$G176*$I176*$M176*BG$9)+(BF176/12*10*$F176*$G176*$I176*$M176*BG$9)</f>
        <v>0</v>
      </c>
      <c r="BH176" s="63">
        <v>3</v>
      </c>
      <c r="BI176" s="36">
        <f>(BH176/12*2*$E176*$G176*$I176*$M176*BI$9)+(BH176/12*10*$F176*$G176*$I176*$M176*BI$9)</f>
        <v>206983.02239999999</v>
      </c>
      <c r="BJ176" s="37">
        <v>0</v>
      </c>
      <c r="BK176" s="36">
        <f>(BJ176/12*2*$E176*$G176*$I176*$M176*BK$9)+(BJ176/12*10*$F176*$G176*$I176*$M176*BK$9)</f>
        <v>0</v>
      </c>
      <c r="BL176" s="37">
        <v>0</v>
      </c>
      <c r="BM176" s="36">
        <f>(BL176/12*2*$E176*$G176*$I176*$M176*BM$9)+(BL176/12*10*$F176*$G176*$I176*$M176*BM$9)</f>
        <v>0</v>
      </c>
      <c r="BN176" s="37">
        <v>0</v>
      </c>
      <c r="BO176" s="36">
        <f>(BN176/12*10*$F176*$G176*$I176*$M176*BO$9)</f>
        <v>0</v>
      </c>
      <c r="BP176" s="39"/>
      <c r="BQ176" s="36"/>
      <c r="BR176" s="37">
        <v>0</v>
      </c>
      <c r="BS176" s="36">
        <f>(BR176/12*10*$F176*$G176*$I176*$M176*BS$9)</f>
        <v>0</v>
      </c>
      <c r="BT176" s="37">
        <v>0</v>
      </c>
      <c r="BU176" s="36">
        <f>(BT176/12*2*$E176*$G176*$I176*$M176*BU$9)+(BT176/12*10*$F176*$G176*$I176*$M176*BU$9)</f>
        <v>0</v>
      </c>
      <c r="BV176" s="36">
        <v>0</v>
      </c>
      <c r="BW176" s="36">
        <f>(BV176/12*2*$E176*$G176*$I176*$M176*BW$9)+(BV176/12*10*$F176*$G176*$I176*$M176*BW$9)</f>
        <v>0</v>
      </c>
      <c r="BX176" s="37">
        <v>0</v>
      </c>
      <c r="BY176" s="36">
        <f>(BX176/12*2*$E176*$G176*$I176*$M176*BY$9)+(BX176/12*10*$F176*$G176*$I176*$M176*BY$9)</f>
        <v>0</v>
      </c>
      <c r="BZ176" s="37"/>
      <c r="CA176" s="36">
        <f>(BZ176/12*2*$E176*$G176*$I176*$M176*CA$9)+(BZ176/12*10*$F176*$G176*$I176*$M176*CA$9)</f>
        <v>0</v>
      </c>
      <c r="CB176" s="37"/>
      <c r="CC176" s="36">
        <f>(CB176/12*2*$E176*$G176*$I176*$M176*CC$9)+(CB176/12*10*$F176*$G176*$I176*$M176*CC$9)</f>
        <v>0</v>
      </c>
      <c r="CD176" s="37">
        <v>0</v>
      </c>
      <c r="CE176" s="36">
        <f>(CD176/12*2*$E176*$G176*$I176*$M176*CE$9)+(CD176/12*10*$F176*$G176*$I176*$M176*CE$9)</f>
        <v>0</v>
      </c>
      <c r="CF176" s="31">
        <v>0</v>
      </c>
      <c r="CG176" s="36">
        <f>(CF176/12*2*$E176*$G176*$I176*$N176*CG$9)+(CF176/12*10*$F176*$G176*$I176*$N176*CG$9)</f>
        <v>0</v>
      </c>
      <c r="CH176" s="37">
        <v>0</v>
      </c>
      <c r="CI176" s="36">
        <f>(CH176/12*2*$E176*$G176*$I176*$O176*$CI$9)+(CH176/12*10*$F176*$G176*$I176*$O176*$CI$9)</f>
        <v>0</v>
      </c>
      <c r="CJ176" s="36"/>
      <c r="CK176" s="36"/>
      <c r="CL176" s="36"/>
      <c r="CM176" s="36"/>
      <c r="CN176" s="41"/>
      <c r="CO176" s="41"/>
      <c r="CP176" s="42">
        <f t="shared" si="190"/>
        <v>4</v>
      </c>
      <c r="CQ176" s="42">
        <f t="shared" si="190"/>
        <v>264478.3064</v>
      </c>
    </row>
    <row r="177" spans="1:95" s="3" customFormat="1" ht="25.5" hidden="1" customHeight="1" x14ac:dyDescent="0.25">
      <c r="A177" s="54"/>
      <c r="B177" s="54">
        <v>112</v>
      </c>
      <c r="C177" s="55" t="s">
        <v>467</v>
      </c>
      <c r="D177" s="120" t="s">
        <v>468</v>
      </c>
      <c r="E177" s="110">
        <v>16026</v>
      </c>
      <c r="F177" s="110">
        <v>16828</v>
      </c>
      <c r="G177" s="76">
        <v>51.86</v>
      </c>
      <c r="H177" s="77">
        <v>2.3E-3</v>
      </c>
      <c r="I177" s="35">
        <v>1</v>
      </c>
      <c r="J177" s="111"/>
      <c r="K177" s="35"/>
      <c r="L177" s="97">
        <v>1.4</v>
      </c>
      <c r="M177" s="97">
        <v>1.68</v>
      </c>
      <c r="N177" s="97">
        <v>2.23</v>
      </c>
      <c r="O177" s="97">
        <v>2.57</v>
      </c>
      <c r="P177" s="36"/>
      <c r="Q177" s="48">
        <f>(P177/12*2*$E177*$G177*((1-$H177)+$H177*$L177*$I177))+(P177/12*10*$F177*$G177*((1-$H177)+$H177*$L177*$I177))</f>
        <v>0</v>
      </c>
      <c r="R177" s="37"/>
      <c r="S177" s="48">
        <f>(R177/12*2*$E177*$G177*((1-$H177)+$H177*$L177*$I177))+(R177/12*10*$F177*$G177*((1-$H177)+$H177*$L177*$I177))</f>
        <v>0</v>
      </c>
      <c r="T177" s="36"/>
      <c r="U177" s="48">
        <f>(T177/12*2*$E177*$G177*((1-$H177)+$H177*$L177*$I177))+(T177/12*10*$F177*$G177*((1-$H177)+$H177*$L177*$I177))</f>
        <v>0</v>
      </c>
      <c r="V177" s="37"/>
      <c r="W177" s="48">
        <f>(V177/12*2*$E177*$G177*((1-$H177)+$H177*$L177*$I177))+(V177/12*10*$F177*$G177*((1-$H177)+$H177*$L177*$I177))</f>
        <v>0</v>
      </c>
      <c r="X177" s="37"/>
      <c r="Y177" s="48">
        <f>(X177/12*2*$E177*$G177*((1-$H177)+$H177*$L177*$I177))+(X177/12*10*$F177*$G177*((1-$H177)+$H177*$L177*$I177))</f>
        <v>0</v>
      </c>
      <c r="Z177" s="37"/>
      <c r="AA177" s="48">
        <f>(Z177/12*2*$E177*$G177*((1-$H177)+$H177*$L177*$I177))+(Z177/12*10*$F177*$G177*((1-$H177)+$H177*$L177*$I177))</f>
        <v>0</v>
      </c>
      <c r="AB177" s="37"/>
      <c r="AC177" s="48"/>
      <c r="AD177" s="37"/>
      <c r="AE177" s="48">
        <f>(AD177/12*2*$E177*$G177*((1-$H177)+$H177*$L177*$I177))+(AD177/12*10*$F177*$G177*((1-$H177)+$H177*$L177*$I177))</f>
        <v>0</v>
      </c>
      <c r="AF177" s="37"/>
      <c r="AG177" s="48">
        <f>(AF177/12*2*$E177*$G177*((1-$H177)+$H177*$M177*$I177))+(AF177/12*10*$F177*$G177*((1-$H177)+$H177*$M177*$I177))</f>
        <v>0</v>
      </c>
      <c r="AH177" s="37"/>
      <c r="AI177" s="48">
        <f>(AH177/12*2*$E177*$G177*((1-$H177)+$H177*$M177*$I177))+(AH177/12*10*$F177*$G177*((1-$H177)+$H177*$M177*$I177))</f>
        <v>0</v>
      </c>
      <c r="AJ177" s="48">
        <v>0</v>
      </c>
      <c r="AK177" s="48">
        <v>0</v>
      </c>
      <c r="AL177" s="37"/>
      <c r="AM177" s="48">
        <f>(AL177/12*2*$E177*$G177*((1-$H177)+$H177*$L177*$I177))+(AL177/12*10*$F177*$G177*((1-$H177)+$H177*$L177*$I177))</f>
        <v>0</v>
      </c>
      <c r="AN177" s="37"/>
      <c r="AO177" s="48">
        <f>(AN177/12*2*$E177*$G177*((1-$H177)+$H177*$L177*$I177))+(AN177/12*10*$F177*$G177*((1-$H177)+$H177*$L177*$I177))</f>
        <v>0</v>
      </c>
      <c r="AP177" s="37"/>
      <c r="AQ177" s="36"/>
      <c r="AR177" s="37"/>
      <c r="AS177" s="48"/>
      <c r="AT177" s="37"/>
      <c r="AU177" s="36"/>
      <c r="AV177" s="37"/>
      <c r="AW177" s="48"/>
      <c r="AX177" s="37"/>
      <c r="AY177" s="48"/>
      <c r="AZ177" s="37"/>
      <c r="BA177" s="48"/>
      <c r="BB177" s="37"/>
      <c r="BC177" s="48"/>
      <c r="BD177" s="37"/>
      <c r="BE177" s="48">
        <f>(BD177/12*2*$E177*$G177*((1-$H177)+$H177*$L177*$I177*BE$9))+(BD177/12*10*$F177*$G177*((1-$H177)+$H177*$L177*$I177*BE$9))</f>
        <v>0</v>
      </c>
      <c r="BF177" s="37"/>
      <c r="BG177" s="48">
        <f>(BF177/12*2*$E177*$G177*((1-$H177)+$H177*$M177*$I177*BG$9))+(BF177/12*10*$F177*$G177*((1-$H177)+$H177*$M177*$I177*BG$9))</f>
        <v>0</v>
      </c>
      <c r="BH177" s="63">
        <v>0</v>
      </c>
      <c r="BI177" s="48">
        <f>(BH177/12*2*$E177*$G177*((1-$H177)+$H177*$M177*$I177*BI$9))+(BH177/12*10*$F177*$G177*((1-$H177)+$H177*$M177*$I177*BI$9))</f>
        <v>0</v>
      </c>
      <c r="BJ177" s="37"/>
      <c r="BK177" s="48">
        <f>(BJ177/12*2*$E177*$G177*((1-$H177)+$H177*$M177*$I177*BK$9))+(BJ177/12*10*$F177*$G177*((1-$H177)+$H177*$M177*$I177*BK$9))</f>
        <v>0</v>
      </c>
      <c r="BL177" s="37"/>
      <c r="BM177" s="48">
        <f>(BL177/12*2*$E177*$G177*((1-$H177)+$H177*$M177*$I177*BM$9))+(BL177/12*10*$F177*$G177*((1-$H177)+$H177*$M177*$I177*BM$9))</f>
        <v>0</v>
      </c>
      <c r="BN177" s="37"/>
      <c r="BO177" s="48">
        <f>(BN177/12*10*$F177*$G177*((1-$H177)+$H177*$M177*$I177*BO$9))</f>
        <v>0</v>
      </c>
      <c r="BP177" s="39"/>
      <c r="BQ177" s="48"/>
      <c r="BR177" s="37"/>
      <c r="BS177" s="48">
        <f>(BR177/12*10*$F177*$G177*((1-$H177)+$H177*$M177*$I177*BS$9))</f>
        <v>0</v>
      </c>
      <c r="BT177" s="37"/>
      <c r="BU177" s="48">
        <f>(BT177/12*2*$E177*$G177*((1-$H177)+$H177*$M177*$I177*BU$9))+(BT177/12*10*$F177*$G177*((1-$H177)+$H177*$M177*$I177*BU$9))</f>
        <v>0</v>
      </c>
      <c r="BV177" s="36"/>
      <c r="BW177" s="48">
        <f>(BV177/12*2*$E177*$G177*((1-$H177)+$H177*$M177*$I177*BW$9))+(BV177/12*10*$F177*$G177*((1-$H177)+$H177*$M177*$I177*BW$9))</f>
        <v>0</v>
      </c>
      <c r="BX177" s="37"/>
      <c r="BY177" s="48">
        <f>(BX177/12*2*$E177*$G177*((1-$H177)+$H177*$M177*$I177*BY$9))+(BX177/12*10*$F177*$G177*((1-$H177)+$H177*$M177*$I177*BY$9))</f>
        <v>0</v>
      </c>
      <c r="BZ177" s="37"/>
      <c r="CA177" s="48">
        <f>(BZ177/12*2*$E177*$G177*((1-$H177)+$H177*$M177*$I177*CA$9))+(BZ177/12*10*$F177*$G177*((1-$H177)+$H177*$M177*$I177*CA$9))</f>
        <v>0</v>
      </c>
      <c r="CB177" s="37"/>
      <c r="CC177" s="48">
        <f>(CB177/12*2*$E177*$G177*((1-$H177)+$H177*$M177*$I177*CC$9))+(CB177/12*10*$F177*$G177*((1-$H177)+$H177*$M177*$I177*CC$9))</f>
        <v>0</v>
      </c>
      <c r="CD177" s="37"/>
      <c r="CE177" s="48">
        <f>(CD177/12*2*$E177*$G177*((1-$H177)+$H177*$M177*$I177*CE$9))+(CD177/12*10*$F177*$G177*((1-$H177)+$H177*$M177*$I177*CE$9))</f>
        <v>0</v>
      </c>
      <c r="CF177" s="31"/>
      <c r="CG177" s="48">
        <f>(CF177/12*2*$E177*$G177*((1-$H177)+$H177*$N177*$I177*CG$9))+(CF177/12*10*$F177*$G177*((1-$H177)+$H177*$N177*$I177*CG$9))</f>
        <v>0</v>
      </c>
      <c r="CH177" s="37"/>
      <c r="CI177" s="48">
        <f>(CH177/12*2*$E177*$G177*((1-$H177)+$H177*$O177*$I177))+(CH177/12*10*$F177*$G177*((1-$H177)+$H177*$O177*$I177))</f>
        <v>0</v>
      </c>
      <c r="CJ177" s="36"/>
      <c r="CK177" s="36"/>
      <c r="CL177" s="36"/>
      <c r="CM177" s="36"/>
      <c r="CN177" s="41"/>
      <c r="CO177" s="41"/>
      <c r="CP177" s="42">
        <f t="shared" si="190"/>
        <v>0</v>
      </c>
      <c r="CQ177" s="42">
        <f t="shared" si="190"/>
        <v>0</v>
      </c>
    </row>
    <row r="178" spans="1:95" ht="18.75" hidden="1" customHeight="1" x14ac:dyDescent="0.25">
      <c r="A178" s="124">
        <v>21</v>
      </c>
      <c r="B178" s="124"/>
      <c r="C178" s="149" t="s">
        <v>469</v>
      </c>
      <c r="D178" s="141" t="s">
        <v>470</v>
      </c>
      <c r="E178" s="110">
        <v>16026</v>
      </c>
      <c r="F178" s="134">
        <v>16828</v>
      </c>
      <c r="G178" s="138">
        <v>0.98</v>
      </c>
      <c r="H178" s="136"/>
      <c r="I178" s="128"/>
      <c r="J178" s="129"/>
      <c r="K178" s="29"/>
      <c r="L178" s="97">
        <v>1.4</v>
      </c>
      <c r="M178" s="97">
        <v>1.68</v>
      </c>
      <c r="N178" s="97">
        <v>2.23</v>
      </c>
      <c r="O178" s="97">
        <v>2.57</v>
      </c>
      <c r="P178" s="139">
        <f>SUM(P179:P185)</f>
        <v>0</v>
      </c>
      <c r="Q178" s="139">
        <f t="shared" ref="Q178:BH178" si="191">SUM(Q179:Q185)</f>
        <v>0</v>
      </c>
      <c r="R178" s="139">
        <f t="shared" si="191"/>
        <v>0</v>
      </c>
      <c r="S178" s="139">
        <f t="shared" si="191"/>
        <v>0</v>
      </c>
      <c r="T178" s="139">
        <f t="shared" si="191"/>
        <v>0</v>
      </c>
      <c r="U178" s="139">
        <f t="shared" si="191"/>
        <v>0</v>
      </c>
      <c r="V178" s="139">
        <f t="shared" si="191"/>
        <v>0</v>
      </c>
      <c r="W178" s="139">
        <f t="shared" si="191"/>
        <v>0</v>
      </c>
      <c r="X178" s="139">
        <f t="shared" si="191"/>
        <v>0</v>
      </c>
      <c r="Y178" s="139">
        <f t="shared" si="191"/>
        <v>0</v>
      </c>
      <c r="Z178" s="139">
        <f t="shared" si="191"/>
        <v>0</v>
      </c>
      <c r="AA178" s="139">
        <f t="shared" si="191"/>
        <v>0</v>
      </c>
      <c r="AB178" s="139">
        <f t="shared" si="191"/>
        <v>0</v>
      </c>
      <c r="AC178" s="139">
        <f t="shared" si="191"/>
        <v>0</v>
      </c>
      <c r="AD178" s="139">
        <f t="shared" si="191"/>
        <v>93</v>
      </c>
      <c r="AE178" s="139">
        <f t="shared" si="191"/>
        <v>2582781.5579999997</v>
      </c>
      <c r="AF178" s="139">
        <f t="shared" si="191"/>
        <v>0</v>
      </c>
      <c r="AG178" s="139">
        <f t="shared" si="191"/>
        <v>0</v>
      </c>
      <c r="AH178" s="139">
        <f>SUM(AH179:AH185)</f>
        <v>1</v>
      </c>
      <c r="AI178" s="139">
        <f t="shared" si="191"/>
        <v>10938.127199999997</v>
      </c>
      <c r="AJ178" s="139">
        <v>1</v>
      </c>
      <c r="AK178" s="139">
        <v>11025.71</v>
      </c>
      <c r="AL178" s="139">
        <f t="shared" si="191"/>
        <v>0</v>
      </c>
      <c r="AM178" s="139">
        <f t="shared" si="191"/>
        <v>0</v>
      </c>
      <c r="AN178" s="139">
        <f t="shared" si="191"/>
        <v>0</v>
      </c>
      <c r="AO178" s="139">
        <f t="shared" si="191"/>
        <v>0</v>
      </c>
      <c r="AP178" s="139">
        <f t="shared" si="191"/>
        <v>0</v>
      </c>
      <c r="AQ178" s="139">
        <f t="shared" si="191"/>
        <v>0</v>
      </c>
      <c r="AR178" s="139">
        <f t="shared" si="191"/>
        <v>0</v>
      </c>
      <c r="AS178" s="139">
        <f t="shared" si="191"/>
        <v>0</v>
      </c>
      <c r="AT178" s="139">
        <f t="shared" si="191"/>
        <v>0</v>
      </c>
      <c r="AU178" s="139">
        <f t="shared" si="191"/>
        <v>0</v>
      </c>
      <c r="AV178" s="139">
        <f t="shared" si="191"/>
        <v>0</v>
      </c>
      <c r="AW178" s="139">
        <f t="shared" si="191"/>
        <v>0</v>
      </c>
      <c r="AX178" s="139">
        <f t="shared" si="191"/>
        <v>0</v>
      </c>
      <c r="AY178" s="139">
        <f t="shared" si="191"/>
        <v>0</v>
      </c>
      <c r="AZ178" s="139">
        <f t="shared" si="191"/>
        <v>0</v>
      </c>
      <c r="BA178" s="139">
        <f>SUM(BA179:BA185)</f>
        <v>0</v>
      </c>
      <c r="BB178" s="139">
        <f t="shared" si="191"/>
        <v>0</v>
      </c>
      <c r="BC178" s="139">
        <f>SUM(BC179:BC185)</f>
        <v>0</v>
      </c>
      <c r="BD178" s="139">
        <f t="shared" si="191"/>
        <v>0</v>
      </c>
      <c r="BE178" s="139">
        <f t="shared" si="191"/>
        <v>0</v>
      </c>
      <c r="BF178" s="139">
        <f t="shared" si="191"/>
        <v>0</v>
      </c>
      <c r="BG178" s="139">
        <f t="shared" si="191"/>
        <v>0</v>
      </c>
      <c r="BH178" s="139">
        <f t="shared" si="191"/>
        <v>140</v>
      </c>
      <c r="BI178" s="139">
        <f>SUM(BI179:BI185)</f>
        <v>1813889.0560000003</v>
      </c>
      <c r="BJ178" s="139">
        <f t="shared" ref="BJ178:BT178" si="192">SUM(BJ179:BJ185)</f>
        <v>0</v>
      </c>
      <c r="BK178" s="139">
        <f t="shared" si="192"/>
        <v>0</v>
      </c>
      <c r="BL178" s="139">
        <f t="shared" si="192"/>
        <v>0</v>
      </c>
      <c r="BM178" s="139">
        <f t="shared" si="192"/>
        <v>0</v>
      </c>
      <c r="BN178" s="139">
        <f t="shared" si="192"/>
        <v>4</v>
      </c>
      <c r="BO178" s="139">
        <f>SUM(BO179:BO185)</f>
        <v>36752.351999999992</v>
      </c>
      <c r="BP178" s="139">
        <f t="shared" si="192"/>
        <v>0</v>
      </c>
      <c r="BQ178" s="139">
        <f>SUM(BQ179:BQ185)</f>
        <v>0</v>
      </c>
      <c r="BR178" s="139">
        <f t="shared" si="192"/>
        <v>0</v>
      </c>
      <c r="BS178" s="139">
        <f>SUM(BS179:BS185)</f>
        <v>0</v>
      </c>
      <c r="BT178" s="139">
        <f t="shared" si="192"/>
        <v>0</v>
      </c>
      <c r="BU178" s="139">
        <f>SUM(BU179:BU185)</f>
        <v>0</v>
      </c>
      <c r="BV178" s="139">
        <f t="shared" ref="BV178:CQ178" si="193">SUM(BV179:BV185)</f>
        <v>0</v>
      </c>
      <c r="BW178" s="139">
        <f t="shared" si="193"/>
        <v>0</v>
      </c>
      <c r="BX178" s="139">
        <f t="shared" si="193"/>
        <v>0</v>
      </c>
      <c r="BY178" s="139">
        <f t="shared" si="193"/>
        <v>0</v>
      </c>
      <c r="BZ178" s="139">
        <f t="shared" si="193"/>
        <v>0</v>
      </c>
      <c r="CA178" s="139">
        <f t="shared" si="193"/>
        <v>0</v>
      </c>
      <c r="CB178" s="139">
        <f t="shared" si="193"/>
        <v>0</v>
      </c>
      <c r="CC178" s="139">
        <f t="shared" si="193"/>
        <v>0</v>
      </c>
      <c r="CD178" s="139">
        <f t="shared" si="193"/>
        <v>0</v>
      </c>
      <c r="CE178" s="139">
        <f t="shared" si="193"/>
        <v>0</v>
      </c>
      <c r="CF178" s="139">
        <f t="shared" si="193"/>
        <v>0</v>
      </c>
      <c r="CG178" s="139">
        <f t="shared" si="193"/>
        <v>0</v>
      </c>
      <c r="CH178" s="139">
        <f t="shared" si="193"/>
        <v>0</v>
      </c>
      <c r="CI178" s="139">
        <f t="shared" si="193"/>
        <v>0</v>
      </c>
      <c r="CJ178" s="139">
        <f t="shared" si="193"/>
        <v>0</v>
      </c>
      <c r="CK178" s="139">
        <f t="shared" si="193"/>
        <v>0</v>
      </c>
      <c r="CL178" s="139">
        <f t="shared" si="193"/>
        <v>0</v>
      </c>
      <c r="CM178" s="139">
        <f t="shared" si="193"/>
        <v>0</v>
      </c>
      <c r="CN178" s="139">
        <f t="shared" si="193"/>
        <v>0</v>
      </c>
      <c r="CO178" s="139">
        <f t="shared" si="193"/>
        <v>0</v>
      </c>
      <c r="CP178" s="139">
        <f t="shared" si="193"/>
        <v>239</v>
      </c>
      <c r="CQ178" s="139">
        <f t="shared" si="193"/>
        <v>4455386.8032</v>
      </c>
    </row>
    <row r="179" spans="1:95" s="3" customFormat="1" ht="23.25" hidden="1" customHeight="1" x14ac:dyDescent="0.25">
      <c r="A179" s="54"/>
      <c r="B179" s="54">
        <v>113</v>
      </c>
      <c r="C179" s="55" t="s">
        <v>471</v>
      </c>
      <c r="D179" s="120" t="s">
        <v>472</v>
      </c>
      <c r="E179" s="110">
        <v>16026</v>
      </c>
      <c r="F179" s="110">
        <v>16828</v>
      </c>
      <c r="G179" s="33">
        <v>0.39</v>
      </c>
      <c r="H179" s="34"/>
      <c r="I179" s="35">
        <v>1</v>
      </c>
      <c r="J179" s="111"/>
      <c r="K179" s="35"/>
      <c r="L179" s="97">
        <v>1.4</v>
      </c>
      <c r="M179" s="97">
        <v>1.68</v>
      </c>
      <c r="N179" s="97">
        <v>2.23</v>
      </c>
      <c r="O179" s="97">
        <v>2.57</v>
      </c>
      <c r="P179" s="36">
        <v>0</v>
      </c>
      <c r="Q179" s="36">
        <f>SUM(P179/12*2*$E179*$G179*$I179*$L179*$Q$9)+(P179/12*10*$F179*$G179*$I179*$L179*$Q$9)</f>
        <v>0</v>
      </c>
      <c r="R179" s="37">
        <v>0</v>
      </c>
      <c r="S179" s="36">
        <f>SUM(R179/12*2*$E179*$G179*$I179*$L179*S$9)+(R179/12*10*$F179*$G179*$I179*$L179*S$9)</f>
        <v>0</v>
      </c>
      <c r="T179" s="36">
        <v>0</v>
      </c>
      <c r="U179" s="36">
        <f>SUM(T179/12*2*$E179*$G179*$I179*$L179*U$9)+(T179/12*10*$F179*$G179*$I179*$L179*U$9)</f>
        <v>0</v>
      </c>
      <c r="V179" s="37">
        <v>0</v>
      </c>
      <c r="W179" s="36">
        <f>SUM(V179/12*2*$E179*$G179*$I179*$L179*$W$9)+(V179/12*10*$F179*$G179*$I179*$L179*$W$9)</f>
        <v>0</v>
      </c>
      <c r="X179" s="37">
        <v>0</v>
      </c>
      <c r="Y179" s="38">
        <f>SUM(X179/12*2*$E179*$G179*$I179*$L179*Y$9)+(X179/12*10*$F179*$G179*$I179*$L179*Y$9)</f>
        <v>0</v>
      </c>
      <c r="Z179" s="37"/>
      <c r="AA179" s="36"/>
      <c r="AB179" s="36"/>
      <c r="AC179" s="36">
        <f>(AB179/12*2*$E179*$G179*$I179*$L179)+(AB179/12*10*$F179*$G179*$I179*$L179)</f>
        <v>0</v>
      </c>
      <c r="AD179" s="39">
        <v>45</v>
      </c>
      <c r="AE179" s="36">
        <f>(AD179/12*2*$E179*$G179*$I179*$L179*AE$9)+(AD179/12*10*$F179*$G179*$I179*$L179*AE$9)</f>
        <v>410179.77</v>
      </c>
      <c r="AF179" s="37">
        <v>0</v>
      </c>
      <c r="AG179" s="36">
        <f>(AF179/12*2*$E179*$G179*$I179*$M179*AG$9)+(AF179/12*10*$F179*$G179*$I179*$M179*AG$9)</f>
        <v>0</v>
      </c>
      <c r="AH179" s="58">
        <v>1</v>
      </c>
      <c r="AI179" s="36">
        <f>(AH179/12*2*$E179*$G179*$I179*$M179*$AI$9)+(AH179/12*10*$F179*$G179*$I179*$M179*$AI$9)</f>
        <v>10938.127199999997</v>
      </c>
      <c r="AJ179" s="36">
        <v>1</v>
      </c>
      <c r="AK179" s="36">
        <v>11025.71</v>
      </c>
      <c r="AL179" s="37"/>
      <c r="AM179" s="36">
        <f>SUM(AL179/12*2*$E179*$G179*$I179*$L179*AM$9)+(AL179/12*10*$F179*$G179*$I179*$L179*AM$9)</f>
        <v>0</v>
      </c>
      <c r="AN179" s="37">
        <v>0</v>
      </c>
      <c r="AO179" s="36">
        <f>SUM(AN179/12*2*$E179*$G179*$I179*$L179*$AE$9)+(AN179/12*10*$F179*$G179*$I179*$L179*$AE$9)</f>
        <v>0</v>
      </c>
      <c r="AP179" s="37"/>
      <c r="AQ179" s="36"/>
      <c r="AR179" s="37"/>
      <c r="AS179" s="36">
        <f>SUM(AR179/12*2*$E179*$G179*$I179*$L179*AS$9)+(AR179/12*10*$F179*$G179*$I179*$L179*AS$9)</f>
        <v>0</v>
      </c>
      <c r="AT179" s="37">
        <v>0</v>
      </c>
      <c r="AU179" s="36">
        <f>SUM(AT179/12*2*$E179*$G179*$I179*$L179*$AI$9)+(AT179/12*10*$F179*$G179*$I179*$L179*$AI$9)</f>
        <v>0</v>
      </c>
      <c r="AV179" s="37">
        <v>0</v>
      </c>
      <c r="AW179" s="36">
        <f>SUM(AV179/12*2*$E179*$G179*$I179*$L179*AW$9)+(AV179/12*10*$F179*$G179*$I179*$L179*AW$9)</f>
        <v>0</v>
      </c>
      <c r="AX179" s="37"/>
      <c r="AY179" s="36">
        <f>SUM(AX179/12*2*$E179*$G179*$I179*$L179*AY$9)+(AX179/12*10*$F179*$G179*$I179*$L179*AY$9)</f>
        <v>0</v>
      </c>
      <c r="AZ179" s="37">
        <v>0</v>
      </c>
      <c r="BA179" s="36">
        <f>SUM(AZ179/12*2*$E179*$G179*$I179*$L179*BA$9)+(AZ179/12*10*$F179*$G179*$I179*$L179*BA$9)</f>
        <v>0</v>
      </c>
      <c r="BB179" s="37">
        <v>0</v>
      </c>
      <c r="BC179" s="36">
        <f>SUM(BB179/12*2*$E179*$G179*$I179*$L179*BC$9)+(BB179/12*10*$F179*$G179*$I179*$L179*BC$9)</f>
        <v>0</v>
      </c>
      <c r="BD179" s="37"/>
      <c r="BE179" s="36">
        <f>SUM(BD179/12*2*$E179*$G179*$I179*$L179*BE$9)+(BD179/12*10*$F179*$G179*$I179*$L179*BE$9)</f>
        <v>0</v>
      </c>
      <c r="BF179" s="37">
        <v>0</v>
      </c>
      <c r="BG179" s="39">
        <f>(BF179/12*2*$E179*$G179*$I179*$M179*BG$9)+(BF179/12*10*$F179*$G179*$I179*$M179*BG$9)</f>
        <v>0</v>
      </c>
      <c r="BH179" s="63">
        <v>100</v>
      </c>
      <c r="BI179" s="36">
        <f>(BH179/12*2*$E179*$G179*$I179*$M179*BI$9)+(BH179/12*10*$F179*$G179*$I179*$M179*BI$9)</f>
        <v>1093812.7200000002</v>
      </c>
      <c r="BJ179" s="37"/>
      <c r="BK179" s="36">
        <f>(BJ179/12*2*$E179*$G179*$I179*$M179*BK$9)+(BJ179/12*10*$F179*$G179*$I179*$M179*BK$9)</f>
        <v>0</v>
      </c>
      <c r="BL179" s="37">
        <v>0</v>
      </c>
      <c r="BM179" s="36">
        <f>(BL179/12*2*$E179*$G179*$I179*$M179*BM$9)+(BL179/12*10*$F179*$G179*$I179*$M179*BM$9)</f>
        <v>0</v>
      </c>
      <c r="BN179" s="36">
        <v>4</v>
      </c>
      <c r="BO179" s="36">
        <f>(BN179/12*10*$F179*$G179*$I179*$M179*BO$9)</f>
        <v>36752.351999999992</v>
      </c>
      <c r="BP179" s="39"/>
      <c r="BQ179" s="36"/>
      <c r="BR179" s="37"/>
      <c r="BS179" s="36">
        <f>(BR179/12*10*$F179*$G179*$I179*$M179*BS$9)</f>
        <v>0</v>
      </c>
      <c r="BT179" s="37">
        <v>0</v>
      </c>
      <c r="BU179" s="36">
        <f>(BT179/12*2*$E179*$G179*$I179*$M179*BU$9)+(BT179/12*10*$F179*$G179*$I179*$M179*BU$9)</f>
        <v>0</v>
      </c>
      <c r="BV179" s="36">
        <v>0</v>
      </c>
      <c r="BW179" s="36">
        <f>(BV179/12*2*$E179*$G179*$I179*$M179*BW$9)+(BV179/12*10*$F179*$G179*$I179*$M179*BW$9)</f>
        <v>0</v>
      </c>
      <c r="BX179" s="37">
        <v>0</v>
      </c>
      <c r="BY179" s="36">
        <f>(BX179/12*2*$E179*$G179*$I179*$M179*BY$9)+(BX179/12*10*$F179*$G179*$I179*$M179*BY$9)</f>
        <v>0</v>
      </c>
      <c r="BZ179" s="37"/>
      <c r="CA179" s="36">
        <f>(BZ179/12*2*$E179*$G179*$I179*$M179*CA$9)+(BZ179/12*10*$F179*$G179*$I179*$M179*CA$9)</f>
        <v>0</v>
      </c>
      <c r="CB179" s="36"/>
      <c r="CC179" s="36">
        <f>(CB179/12*2*$E179*$G179*$I179*$M179*CC$9)+(CB179/12*10*$F179*$G179*$I179*$M179*CC$9)</f>
        <v>0</v>
      </c>
      <c r="CD179" s="37">
        <v>0</v>
      </c>
      <c r="CE179" s="36">
        <f>(CD179/12*2*$E179*$G179*$I179*$M179*CE$9)+(CD179/12*10*$F179*$G179*$I179*$M179*CE$9)</f>
        <v>0</v>
      </c>
      <c r="CF179" s="69"/>
      <c r="CG179" s="36">
        <f>(CF179/12*2*$E179*$G179*$I179*$N179*CG$9)+(CF179/12*10*$F179*$G179*$I179*$N179*CG$9)</f>
        <v>0</v>
      </c>
      <c r="CH179" s="40"/>
      <c r="CI179" s="36">
        <f>(CH179/12*2*$E179*$G179*$I179*$O179*$CI$9)+(CH179/12*10*$F179*$G179*$I179*$O179*$CI$9)</f>
        <v>0</v>
      </c>
      <c r="CJ179" s="36"/>
      <c r="CK179" s="36"/>
      <c r="CL179" s="36"/>
      <c r="CM179" s="36"/>
      <c r="CN179" s="41"/>
      <c r="CO179" s="41"/>
      <c r="CP179" s="42">
        <f t="shared" ref="CP179:CQ185" si="194">SUM(R179+P179+T179+V179+AB179+Z179+X179+AF179+AD179+AH179+AJ179+BF179+BJ179+AL179+AT179+AV179+BT179+BV179+BR179+BX179+BZ179+BN179+AN179+AP179+AR179+BH179+BL179+AX179+AZ179+BB179+BD179+BP179+CB179+CD179+CF179+CH179+CJ179+CL179)</f>
        <v>151</v>
      </c>
      <c r="CQ179" s="42">
        <f t="shared" si="194"/>
        <v>1562708.6792000001</v>
      </c>
    </row>
    <row r="180" spans="1:95" s="3" customFormat="1" ht="18.75" hidden="1" customHeight="1" x14ac:dyDescent="0.25">
      <c r="A180" s="54"/>
      <c r="B180" s="54">
        <v>114</v>
      </c>
      <c r="C180" s="55" t="s">
        <v>473</v>
      </c>
      <c r="D180" s="120" t="s">
        <v>474</v>
      </c>
      <c r="E180" s="110">
        <v>16026</v>
      </c>
      <c r="F180" s="110">
        <v>16828</v>
      </c>
      <c r="G180" s="76">
        <v>0.67</v>
      </c>
      <c r="H180" s="34"/>
      <c r="I180" s="35">
        <v>1</v>
      </c>
      <c r="J180" s="47">
        <v>0.95</v>
      </c>
      <c r="K180" s="57"/>
      <c r="L180" s="97">
        <v>1.4</v>
      </c>
      <c r="M180" s="97">
        <v>1.68</v>
      </c>
      <c r="N180" s="97">
        <v>2.23</v>
      </c>
      <c r="O180" s="97">
        <v>2.57</v>
      </c>
      <c r="P180" s="36">
        <v>0</v>
      </c>
      <c r="Q180" s="36">
        <f>SUM(P180/12*2*$E180*$G180*$I180*$L180*$Q$9)+(P180/12*10*$F180*$G180*$J180*$L180*$Q$9)</f>
        <v>0</v>
      </c>
      <c r="R180" s="37">
        <v>0</v>
      </c>
      <c r="S180" s="36">
        <f>SUM(R180/12*2*$E180*$G180*$I180*$L180*S$9)+(R180/12*10*$F180*$G180*$J180*$L180*S$9)</f>
        <v>0</v>
      </c>
      <c r="T180" s="36">
        <v>0</v>
      </c>
      <c r="U180" s="36">
        <f>SUM(T180/12*2*$E180*$G180*$I180*$L180*U$9)+(T180/12*10*$F180*$G180*$J180*$L180*U$9)</f>
        <v>0</v>
      </c>
      <c r="V180" s="37">
        <v>0</v>
      </c>
      <c r="W180" s="36">
        <f>SUM(V180/12*2*$E180*$G180*$I180*$L180*$W$9)+(V180/12*10*$F180*$G180*$J180*$L180*$W$9)</f>
        <v>0</v>
      </c>
      <c r="X180" s="37">
        <v>0</v>
      </c>
      <c r="Y180" s="38">
        <f>SUM(X180/12*2*$E180*$G180*$I180*$L180*Y$9)+(X180/12*10*$F180*$G180*$J180*$L180*Y$9)</f>
        <v>0</v>
      </c>
      <c r="Z180" s="37"/>
      <c r="AA180" s="36"/>
      <c r="AB180" s="36">
        <v>0</v>
      </c>
      <c r="AC180" s="36">
        <f>(AB180/12*2*$E180*$G180*$I180*$L180)+(AB180/12*10*$F180*$G180*$J180*$L180)</f>
        <v>0</v>
      </c>
      <c r="AD180" s="39">
        <v>20</v>
      </c>
      <c r="AE180" s="36">
        <f>(AD180/12*2*$E180*$G180*$I180*$L180*AE$9)+(AD180/12*10*$F180*$G180*$J180*$L180*AE$9)</f>
        <v>300031.8066666667</v>
      </c>
      <c r="AF180" s="37">
        <v>0</v>
      </c>
      <c r="AG180" s="36">
        <f>(AF180/12*2*$E180*$G180*$I180*$M180*AG$9)+(AF180/12*10*$F180*$G180*$J180*$M180*AG$9)</f>
        <v>0</v>
      </c>
      <c r="AH180" s="37">
        <v>0</v>
      </c>
      <c r="AI180" s="36">
        <f>(AH180/12*2*$E180*$G180*$I180*$M180*$AI$9)+(AH180/12*10*$F180*$G180*$J180*$M180*$AI$9)</f>
        <v>0</v>
      </c>
      <c r="AJ180" s="36">
        <v>0</v>
      </c>
      <c r="AK180" s="36">
        <v>0</v>
      </c>
      <c r="AL180" s="37"/>
      <c r="AM180" s="36">
        <f>SUM(AL180/12*2*$E180*$G180*$I180*$L180*AM$9)+(AL180/12*10*$F180*$G180*$J180*$L180*AM$9)</f>
        <v>0</v>
      </c>
      <c r="AN180" s="37">
        <v>0</v>
      </c>
      <c r="AO180" s="36">
        <f>SUM(AN180/12*2*$E180*$G180*$I180*$L180*$AE$9)+(AN180/12*10*$F180*$G180*$J180*$L180*$AE$9)</f>
        <v>0</v>
      </c>
      <c r="AP180" s="37"/>
      <c r="AQ180" s="36"/>
      <c r="AR180" s="37"/>
      <c r="AS180" s="36">
        <f>SUM(AR180/12*2*$E180*$G180*$I180*$L180*AS$9)+(AR180/12*10*$F180*$G180*$J180*$L180*AS$9)</f>
        <v>0</v>
      </c>
      <c r="AT180" s="37">
        <v>0</v>
      </c>
      <c r="AU180" s="36">
        <f>SUM(AT180/12*2*$E180*$G180*$I180*$L180*$AI$9)+(AT180/12*10*$F180*$G180*$J180*$L180*$AI$9)</f>
        <v>0</v>
      </c>
      <c r="AV180" s="37">
        <v>0</v>
      </c>
      <c r="AW180" s="36">
        <f>SUM(AV180/12*2*$E180*$G180*$I180*$L180*AW$9)+(AV180/12*10*$F180*$G180*$J180*$L180*AW$9)</f>
        <v>0</v>
      </c>
      <c r="AX180" s="37">
        <v>0</v>
      </c>
      <c r="AY180" s="36">
        <f>SUM(AX180/12*2*$E180*$G180*$I180*$L180*AY$9)+(AX180/12*10*$F180*$G180*$J180*$L180*AY$9)</f>
        <v>0</v>
      </c>
      <c r="AZ180" s="37">
        <v>0</v>
      </c>
      <c r="BA180" s="36">
        <f>SUM(AZ180/12*2*$E180*$G180*$I180*$L180*BA$9)+(AZ180/12*10*$F180*$G180*$J180*$L180*BA$9)</f>
        <v>0</v>
      </c>
      <c r="BB180" s="37">
        <v>0</v>
      </c>
      <c r="BC180" s="36">
        <f>SUM(BB180/12*2*$E180*$G180*$I180*$L180*BC$9)+(BB180/12*10*$F180*$G180*$J180*$L180*BC$9)</f>
        <v>0</v>
      </c>
      <c r="BD180" s="37"/>
      <c r="BE180" s="36">
        <f>SUM(BD180/12*2*$E180*$G180*$I180*$L180*BE$9)+(BD180/12*10*$F180*$G180*$J180*$L180*BE$9)</f>
        <v>0</v>
      </c>
      <c r="BF180" s="36">
        <v>0</v>
      </c>
      <c r="BG180" s="39">
        <f>(BF180/12*2*$E180*$G180*$I180*$M180*BG$9)+(BF180/12*10*$F180*$G180*$J180*$M180*BG$9)</f>
        <v>0</v>
      </c>
      <c r="BH180" s="63">
        <v>40</v>
      </c>
      <c r="BI180" s="36">
        <f>(BH180/12*2*$E180*$G180*$I180*$M180*BI$9)+(BH180/12*10*$F180*$G180*$J180*$M180*BI$9)</f>
        <v>720076.33600000013</v>
      </c>
      <c r="BJ180" s="37">
        <v>0</v>
      </c>
      <c r="BK180" s="36">
        <f>(BJ180/12*2*$E180*$G180*$I180*$M180*BK$9)+(BJ180/12*10*$F180*$G180*$J180*$M180*BK$9)</f>
        <v>0</v>
      </c>
      <c r="BL180" s="37">
        <v>0</v>
      </c>
      <c r="BM180" s="36">
        <f>(BL180/12*2*$E180*$G180*$I180*$M180*BM$9)+(BL180/12*10*$F180*$G180*$J180*$M180*BM$9)</f>
        <v>0</v>
      </c>
      <c r="BN180" s="37">
        <v>0</v>
      </c>
      <c r="BO180" s="36">
        <f>(BN180/12*10*$F180*$G180*$J180*$M180*BO$9)</f>
        <v>0</v>
      </c>
      <c r="BP180" s="39"/>
      <c r="BQ180" s="36"/>
      <c r="BR180" s="36">
        <v>0</v>
      </c>
      <c r="BS180" s="36">
        <f>(BR180/12*10*$F180*$G180*$J180*$M180*BS$9)</f>
        <v>0</v>
      </c>
      <c r="BT180" s="37">
        <v>0</v>
      </c>
      <c r="BU180" s="36"/>
      <c r="BV180" s="36">
        <v>0</v>
      </c>
      <c r="BW180" s="36">
        <f>(BV180/12*2*$E180*$G180*$I180*$M180*BW$9)+(BV180/12*10*$F180*$G180*$J180*$M180*BW$9)</f>
        <v>0</v>
      </c>
      <c r="BX180" s="37">
        <v>0</v>
      </c>
      <c r="BY180" s="36">
        <f>(BX180/12*2*$E180*$G180*$I180*$M180*BY$9)+(BX180/12*10*$F180*$G180*$J180*$M180*BY$9)</f>
        <v>0</v>
      </c>
      <c r="BZ180" s="37"/>
      <c r="CA180" s="36">
        <f>(BZ180/12*2*$E180*$G180*$I180*$M180*CA$9)+(BZ180/12*10*$F180*$G180*$J180*$M180*CA$9)</f>
        <v>0</v>
      </c>
      <c r="CB180" s="37"/>
      <c r="CC180" s="36">
        <f>(CB180/12*2*$E180*$G180*$I180*$M180*CC$9)+(CB180/12*10*$F180*$G180*$J180*$M180*CC$9)</f>
        <v>0</v>
      </c>
      <c r="CD180" s="37">
        <v>0</v>
      </c>
      <c r="CE180" s="36">
        <f>(CD180/12*2*$E180*$G180*$I180*$M180*CE$9)+(CD180/12*10*$F180*$G180*$J180*$M180*CE$9)</f>
        <v>0</v>
      </c>
      <c r="CF180" s="37">
        <v>0</v>
      </c>
      <c r="CG180" s="36">
        <f>(CF180/12*2*$E180*$G180*$I180*$N180*CG$9)+(CF180/12*10*$F180*$G180*$J180*$N180*CG$9)</f>
        <v>0</v>
      </c>
      <c r="CH180" s="37">
        <v>0</v>
      </c>
      <c r="CI180" s="36">
        <f>(CH180/12*2*$E180*$G180*$I180*$O180*$CI$9)+(CH180/12*10*$F180*$G180*$J180*$O180*$CI$9)</f>
        <v>0</v>
      </c>
      <c r="CJ180" s="36"/>
      <c r="CK180" s="36"/>
      <c r="CL180" s="36"/>
      <c r="CM180" s="36"/>
      <c r="CN180" s="41"/>
      <c r="CO180" s="41"/>
      <c r="CP180" s="42">
        <f t="shared" si="194"/>
        <v>60</v>
      </c>
      <c r="CQ180" s="42">
        <f t="shared" si="194"/>
        <v>1020108.1426666668</v>
      </c>
    </row>
    <row r="181" spans="1:95" s="3" customFormat="1" ht="18.75" hidden="1" customHeight="1" x14ac:dyDescent="0.25">
      <c r="A181" s="54"/>
      <c r="B181" s="54">
        <v>115</v>
      </c>
      <c r="C181" s="55" t="s">
        <v>475</v>
      </c>
      <c r="D181" s="120" t="s">
        <v>476</v>
      </c>
      <c r="E181" s="110">
        <v>16026</v>
      </c>
      <c r="F181" s="110">
        <v>16828</v>
      </c>
      <c r="G181" s="76">
        <v>1.0900000000000001</v>
      </c>
      <c r="H181" s="34"/>
      <c r="I181" s="35">
        <v>1</v>
      </c>
      <c r="J181" s="47">
        <v>0.95</v>
      </c>
      <c r="K181" s="57"/>
      <c r="L181" s="97">
        <v>1.4</v>
      </c>
      <c r="M181" s="97">
        <v>1.68</v>
      </c>
      <c r="N181" s="97">
        <v>2.23</v>
      </c>
      <c r="O181" s="97">
        <v>2.57</v>
      </c>
      <c r="P181" s="36">
        <v>0</v>
      </c>
      <c r="Q181" s="36">
        <f>SUM(P181/12*2*$E181*$G181*$I181*$L181*$Q$9)+(P181/12*10*$F181*$G181*$J181*$L181*$Q$9)</f>
        <v>0</v>
      </c>
      <c r="R181" s="37">
        <v>0</v>
      </c>
      <c r="S181" s="36">
        <f>SUM(R181/12*2*$E181*$G181*$I181*$L181*S$9)+(R181/12*10*$F181*$G181*$J181*$L181*S$9)</f>
        <v>0</v>
      </c>
      <c r="T181" s="36">
        <v>0</v>
      </c>
      <c r="U181" s="36">
        <f>SUM(T181/12*2*$E181*$G181*$I181*$L181*U$9)+(T181/12*10*$F181*$G181*$J181*$L181*U$9)</f>
        <v>0</v>
      </c>
      <c r="V181" s="37">
        <v>0</v>
      </c>
      <c r="W181" s="36">
        <f>SUM(V181/12*2*$E181*$G181*$I181*$L181*$W$9)+(V181/12*10*$F181*$G181*$J181*$L181*$W$9)</f>
        <v>0</v>
      </c>
      <c r="X181" s="37">
        <v>0</v>
      </c>
      <c r="Y181" s="38">
        <f>SUM(X181/12*2*$E181*$G181*$I181*$L181*Y$9)+(X181/12*10*$F181*$G181*$J181*$L181*Y$9)</f>
        <v>0</v>
      </c>
      <c r="Z181" s="37"/>
      <c r="AA181" s="36"/>
      <c r="AB181" s="37"/>
      <c r="AC181" s="36">
        <f>(AB181/12*2*$E181*$G181*$I181*$L181)+(AB181/12*10*$F181*$G181*$J181*$L181)</f>
        <v>0</v>
      </c>
      <c r="AD181" s="36">
        <v>0</v>
      </c>
      <c r="AE181" s="36">
        <f>(AD181/12*2*$E181*$G181*$I181*$L181*AE$9)+(AD181/12*10*$F181*$G181*$J181*$L181*AE$9)</f>
        <v>0</v>
      </c>
      <c r="AF181" s="37">
        <v>0</v>
      </c>
      <c r="AG181" s="36">
        <f>(AF181/12*2*$E181*$G181*$I181*$M181*AG$9)+(AF181/12*10*$F181*$G181*$J181*$M181*AG$9)</f>
        <v>0</v>
      </c>
      <c r="AH181" s="37">
        <v>0</v>
      </c>
      <c r="AI181" s="36">
        <f>(AH181/12*2*$E181*$G181*$I181*$M181*$AI$9)+(AH181/12*10*$F181*$G181*$J181*$M181*$AI$9)</f>
        <v>0</v>
      </c>
      <c r="AJ181" s="36">
        <v>0</v>
      </c>
      <c r="AK181" s="36">
        <v>0</v>
      </c>
      <c r="AL181" s="37"/>
      <c r="AM181" s="36">
        <f>SUM(AL181/12*2*$E181*$G181*$I181*$L181*AM$9)+(AL181/12*10*$F181*$G181*$J181*$L181*AM$9)</f>
        <v>0</v>
      </c>
      <c r="AN181" s="37">
        <v>0</v>
      </c>
      <c r="AO181" s="36">
        <f>SUM(AN181/12*2*$E181*$G181*$I181*$L181*$AE$9)+(AN181/12*10*$F181*$G181*$J181*$L181*$AE$9)</f>
        <v>0</v>
      </c>
      <c r="AP181" s="37"/>
      <c r="AQ181" s="36"/>
      <c r="AR181" s="37"/>
      <c r="AS181" s="36">
        <f>SUM(AR181/12*2*$E181*$G181*$I181*$L181*AS$9)+(AR181/12*10*$F181*$G181*$J181*$L181*AS$9)</f>
        <v>0</v>
      </c>
      <c r="AT181" s="37">
        <v>0</v>
      </c>
      <c r="AU181" s="36">
        <f>SUM(AT181/12*2*$E181*$G181*$I181*$L181*$AI$9)+(AT181/12*10*$F181*$G181*$J181*$L181*$AI$9)</f>
        <v>0</v>
      </c>
      <c r="AV181" s="37">
        <v>0</v>
      </c>
      <c r="AW181" s="36">
        <f>SUM(AV181/12*2*$E181*$G181*$I181*$L181*AW$9)+(AV181/12*10*$F181*$G181*$J181*$L181*AW$9)</f>
        <v>0</v>
      </c>
      <c r="AX181" s="37">
        <v>0</v>
      </c>
      <c r="AY181" s="36">
        <f>SUM(AX181/12*2*$E181*$G181*$I181*$L181*AY$9)+(AX181/12*10*$F181*$G181*$J181*$L181*AY$9)</f>
        <v>0</v>
      </c>
      <c r="AZ181" s="37">
        <v>0</v>
      </c>
      <c r="BA181" s="36">
        <f>SUM(AZ181/12*2*$E181*$G181*$I181*$L181*BA$9)+(AZ181/12*10*$F181*$G181*$J181*$L181*BA$9)</f>
        <v>0</v>
      </c>
      <c r="BB181" s="37">
        <v>0</v>
      </c>
      <c r="BC181" s="36">
        <f>SUM(BB181/12*2*$E181*$G181*$I181*$L181*BC$9)+(BB181/12*10*$F181*$G181*$J181*$L181*BC$9)</f>
        <v>0</v>
      </c>
      <c r="BD181" s="37"/>
      <c r="BE181" s="36">
        <f>SUM(BD181/12*2*$E181*$G181*$I181*$L181*BE$9)+(BD181/12*10*$F181*$G181*$J181*$L181*BE$9)</f>
        <v>0</v>
      </c>
      <c r="BF181" s="36">
        <v>0</v>
      </c>
      <c r="BG181" s="39">
        <f>(BF181/12*2*$E181*$G181*$I181*$M181*BG$9)+(BF181/12*10*$F181*$G181*$J181*$M181*BG$9)</f>
        <v>0</v>
      </c>
      <c r="BH181" s="63">
        <v>0</v>
      </c>
      <c r="BI181" s="36">
        <f>(BH181/12*2*$E181*$G181*$I181*$M181*BI$9)+(BH181/12*10*$F181*$G181*$J181*$M181*BI$9)</f>
        <v>0</v>
      </c>
      <c r="BJ181" s="37">
        <v>0</v>
      </c>
      <c r="BK181" s="36">
        <f>(BJ181/12*2*$E181*$G181*$I181*$M181*BK$9)+(BJ181/12*10*$F181*$G181*$J181*$M181*BK$9)</f>
        <v>0</v>
      </c>
      <c r="BL181" s="37">
        <v>0</v>
      </c>
      <c r="BM181" s="36">
        <f>(BL181/12*2*$E181*$G181*$I181*$M181*BM$9)+(BL181/12*10*$F181*$G181*$J181*$M181*BM$9)</f>
        <v>0</v>
      </c>
      <c r="BN181" s="37">
        <v>0</v>
      </c>
      <c r="BO181" s="36">
        <f>(BN181/12*10*$F181*$G181*$J181*$M181*BO$9)</f>
        <v>0</v>
      </c>
      <c r="BP181" s="39"/>
      <c r="BQ181" s="36"/>
      <c r="BR181" s="36">
        <v>0</v>
      </c>
      <c r="BS181" s="36">
        <f>(BR181/12*10*$F181*$G181*$J181*$M181*BS$9)</f>
        <v>0</v>
      </c>
      <c r="BT181" s="37">
        <v>0</v>
      </c>
      <c r="BU181" s="36"/>
      <c r="BV181" s="36">
        <v>0</v>
      </c>
      <c r="BW181" s="36">
        <f>(BV181/12*2*$E181*$G181*$I181*$M181*BW$9)+(BV181/12*10*$F181*$G181*$J181*$M181*BW$9)</f>
        <v>0</v>
      </c>
      <c r="BX181" s="37">
        <v>0</v>
      </c>
      <c r="BY181" s="36">
        <f>(BX181/12*2*$E181*$G181*$I181*$M181*BY$9)+(BX181/12*10*$F181*$G181*$J181*$M181*BY$9)</f>
        <v>0</v>
      </c>
      <c r="BZ181" s="37"/>
      <c r="CA181" s="36">
        <f>(BZ181/12*2*$E181*$G181*$I181*$M181*CA$9)+(BZ181/12*10*$F181*$G181*$J181*$M181*CA$9)</f>
        <v>0</v>
      </c>
      <c r="CB181" s="37"/>
      <c r="CC181" s="36">
        <f>(CB181/12*2*$E181*$G181*$I181*$M181*CC$9)+(CB181/12*10*$F181*$G181*$J181*$M181*CC$9)</f>
        <v>0</v>
      </c>
      <c r="CD181" s="37">
        <v>0</v>
      </c>
      <c r="CE181" s="36">
        <f>(CD181/12*2*$E181*$G181*$I181*$M181*CE$9)+(CD181/12*10*$F181*$G181*$J181*$M181*CE$9)</f>
        <v>0</v>
      </c>
      <c r="CF181" s="37">
        <v>0</v>
      </c>
      <c r="CG181" s="36">
        <f>(CF181/12*2*$E181*$G181*$I181*$N181*CG$9)+(CF181/12*10*$F181*$G181*$J181*$N181*CG$9)</f>
        <v>0</v>
      </c>
      <c r="CH181" s="37">
        <v>0</v>
      </c>
      <c r="CI181" s="36">
        <f>(CH181/12*2*$E181*$G181*$I181*$O181*$CI$9)+(CH181/12*10*$F181*$G181*$J181*$O181*$CI$9)</f>
        <v>0</v>
      </c>
      <c r="CJ181" s="36"/>
      <c r="CK181" s="36"/>
      <c r="CL181" s="36"/>
      <c r="CM181" s="36"/>
      <c r="CN181" s="41"/>
      <c r="CO181" s="41"/>
      <c r="CP181" s="42">
        <f t="shared" si="194"/>
        <v>0</v>
      </c>
      <c r="CQ181" s="42">
        <f t="shared" si="194"/>
        <v>0</v>
      </c>
    </row>
    <row r="182" spans="1:95" s="3" customFormat="1" ht="18.75" hidden="1" customHeight="1" x14ac:dyDescent="0.25">
      <c r="A182" s="54"/>
      <c r="B182" s="54">
        <v>116</v>
      </c>
      <c r="C182" s="55" t="s">
        <v>477</v>
      </c>
      <c r="D182" s="120" t="s">
        <v>478</v>
      </c>
      <c r="E182" s="110">
        <v>16026</v>
      </c>
      <c r="F182" s="110">
        <v>16828</v>
      </c>
      <c r="G182" s="76">
        <v>1.62</v>
      </c>
      <c r="H182" s="34"/>
      <c r="I182" s="35">
        <v>1</v>
      </c>
      <c r="J182" s="47">
        <v>0.95</v>
      </c>
      <c r="K182" s="123"/>
      <c r="L182" s="97">
        <v>1.4</v>
      </c>
      <c r="M182" s="97">
        <v>1.68</v>
      </c>
      <c r="N182" s="97">
        <v>2.23</v>
      </c>
      <c r="O182" s="97">
        <v>2.57</v>
      </c>
      <c r="P182" s="36">
        <v>0</v>
      </c>
      <c r="Q182" s="36">
        <f>SUM(P182/12*2*$E182*$G182*$I182*$L182*$Q$9)+(P182/12*10*$F182*$G182*$J182*$L182*$Q$9)</f>
        <v>0</v>
      </c>
      <c r="R182" s="37">
        <v>0</v>
      </c>
      <c r="S182" s="36">
        <f>SUM(R182/12*2*$E182*$G182*$I182*$L182*S$9)+(R182/12*10*$F182*$G182*$J182*$L182*S$9)</f>
        <v>0</v>
      </c>
      <c r="T182" s="36">
        <v>0</v>
      </c>
      <c r="U182" s="36">
        <f>SUM(T182/12*2*$E182*$G182*$I182*$L182*U$9)+(T182/12*10*$F182*$G182*$J182*$L182*U$9)</f>
        <v>0</v>
      </c>
      <c r="V182" s="37">
        <v>0</v>
      </c>
      <c r="W182" s="36">
        <f>SUM(V182/12*2*$E182*$G182*$I182*$L182*$W$9)+(V182/12*10*$F182*$G182*$J182*$L182*$W$9)</f>
        <v>0</v>
      </c>
      <c r="X182" s="37">
        <v>0</v>
      </c>
      <c r="Y182" s="38">
        <f>SUM(X182/12*2*$E182*$G182*$I182*$L182*Y$9)+(X182/12*10*$F182*$G182*$J182*$L182*Y$9)</f>
        <v>0</v>
      </c>
      <c r="Z182" s="37"/>
      <c r="AA182" s="36"/>
      <c r="AB182" s="37"/>
      <c r="AC182" s="36">
        <f>(AB182/12*2*$E182*$G182*$I182*$L182)+(AB182/12*10*$F182*$G182*$J182*$L182)</f>
        <v>0</v>
      </c>
      <c r="AD182" s="36">
        <v>0</v>
      </c>
      <c r="AE182" s="36">
        <f>(AD182/12*2*$E182*$G182*$I182*$L182*AE$9)+(AD182/12*10*$F182*$G182*$J182*$L182*AE$9)</f>
        <v>0</v>
      </c>
      <c r="AF182" s="37">
        <v>0</v>
      </c>
      <c r="AG182" s="36">
        <f>(AF182/12*2*$E182*$G182*$I182*$M182*AG$9)+(AF182/12*10*$F182*$G182*$J182*$M182*AG$9)</f>
        <v>0</v>
      </c>
      <c r="AH182" s="37">
        <v>0</v>
      </c>
      <c r="AI182" s="36">
        <f>(AH182/12*2*$E182*$G182*$I182*$M182*$AI$9)+(AH182/12*10*$F182*$G182*$J182*$M182*$AI$9)</f>
        <v>0</v>
      </c>
      <c r="AJ182" s="36">
        <v>0</v>
      </c>
      <c r="AK182" s="36">
        <v>0</v>
      </c>
      <c r="AL182" s="37"/>
      <c r="AM182" s="36">
        <f>SUM(AL182/12*2*$E182*$G182*$I182*$L182*AM$9)+(AL182/12*10*$F182*$G182*$J182*$L182*AM$9)</f>
        <v>0</v>
      </c>
      <c r="AN182" s="37">
        <v>0</v>
      </c>
      <c r="AO182" s="36">
        <f>SUM(AN182/12*2*$E182*$G182*$I182*$L182*$AE$9)+(AN182/12*10*$F182*$G182*$J182*$L182*$AE$9)</f>
        <v>0</v>
      </c>
      <c r="AP182" s="37"/>
      <c r="AQ182" s="36"/>
      <c r="AR182" s="37"/>
      <c r="AS182" s="36">
        <f>SUM(AR182/12*2*$E182*$G182*$I182*$L182*AS$9)+(AR182/12*10*$F182*$G182*$J182*$L182*AS$9)</f>
        <v>0</v>
      </c>
      <c r="AT182" s="37">
        <v>0</v>
      </c>
      <c r="AU182" s="36">
        <f>SUM(AT182/12*2*$E182*$G182*$I182*$L182*$AI$9)+(AT182/12*10*$F182*$G182*$J182*$L182*$AI$9)</f>
        <v>0</v>
      </c>
      <c r="AV182" s="37">
        <v>0</v>
      </c>
      <c r="AW182" s="36">
        <f>SUM(AV182/12*2*$E182*$G182*$I182*$L182*AW$9)+(AV182/12*10*$F182*$G182*$J182*$L182*AW$9)</f>
        <v>0</v>
      </c>
      <c r="AX182" s="37">
        <v>0</v>
      </c>
      <c r="AY182" s="36">
        <f>SUM(AX182/12*2*$E182*$G182*$I182*$L182*AY$9)+(AX182/12*10*$F182*$G182*$J182*$L182*AY$9)</f>
        <v>0</v>
      </c>
      <c r="AZ182" s="37">
        <v>0</v>
      </c>
      <c r="BA182" s="36">
        <f>SUM(AZ182/12*2*$E182*$G182*$I182*$L182*BA$9)+(AZ182/12*10*$F182*$G182*$J182*$L182*BA$9)</f>
        <v>0</v>
      </c>
      <c r="BB182" s="37">
        <v>0</v>
      </c>
      <c r="BC182" s="36">
        <f>SUM(BB182/12*2*$E182*$G182*$I182*$L182*BC$9)+(BB182/12*10*$F182*$G182*$J182*$L182*BC$9)</f>
        <v>0</v>
      </c>
      <c r="BD182" s="37"/>
      <c r="BE182" s="36">
        <f>SUM(BD182/12*2*$E182*$G182*$I182*$L182*BE$9)+(BD182/12*10*$F182*$G182*$J182*$L182*BE$9)</f>
        <v>0</v>
      </c>
      <c r="BF182" s="36">
        <v>0</v>
      </c>
      <c r="BG182" s="39">
        <f>(BF182/12*2*$E182*$G182*$I182*$M182*BG$9)+(BF182/12*10*$F182*$G182*$J182*$M182*BG$9)</f>
        <v>0</v>
      </c>
      <c r="BH182" s="63">
        <v>0</v>
      </c>
      <c r="BI182" s="36">
        <f>(BH182/12*2*$E182*$G182*$I182*$M182*BI$9)+(BH182/12*10*$F182*$G182*$J182*$M182*BI$9)</f>
        <v>0</v>
      </c>
      <c r="BJ182" s="37">
        <v>0</v>
      </c>
      <c r="BK182" s="36">
        <f>(BJ182/12*2*$E182*$G182*$I182*$M182*BK$9)+(BJ182/12*10*$F182*$G182*$J182*$M182*BK$9)</f>
        <v>0</v>
      </c>
      <c r="BL182" s="37">
        <v>0</v>
      </c>
      <c r="BM182" s="36">
        <f>(BL182/12*2*$E182*$G182*$I182*$M182*BM$9)+(BL182/12*10*$F182*$G182*$J182*$M182*BM$9)</f>
        <v>0</v>
      </c>
      <c r="BN182" s="37">
        <v>0</v>
      </c>
      <c r="BO182" s="36">
        <f>(BN182/12*10*$F182*$G182*$J182*$M182*BO$9)</f>
        <v>0</v>
      </c>
      <c r="BP182" s="39"/>
      <c r="BQ182" s="36"/>
      <c r="BR182" s="36">
        <v>0</v>
      </c>
      <c r="BS182" s="36">
        <f>(BR182/12*10*$F182*$G182*$J182*$M182*BS$9)</f>
        <v>0</v>
      </c>
      <c r="BT182" s="37">
        <v>0</v>
      </c>
      <c r="BU182" s="36"/>
      <c r="BV182" s="36">
        <v>0</v>
      </c>
      <c r="BW182" s="36">
        <f>(BV182/12*2*$E182*$G182*$I182*$M182*BW$9)+(BV182/12*10*$F182*$G182*$J182*$M182*BW$9)</f>
        <v>0</v>
      </c>
      <c r="BX182" s="37">
        <v>0</v>
      </c>
      <c r="BY182" s="36">
        <f>(BX182/12*2*$E182*$G182*$I182*$M182*BY$9)+(BX182/12*10*$F182*$G182*$J182*$M182*BY$9)</f>
        <v>0</v>
      </c>
      <c r="BZ182" s="37"/>
      <c r="CA182" s="36">
        <f>(BZ182/12*2*$E182*$G182*$I182*$M182*CA$9)+(BZ182/12*10*$F182*$G182*$J182*$M182*CA$9)</f>
        <v>0</v>
      </c>
      <c r="CB182" s="37"/>
      <c r="CC182" s="36">
        <f>(CB182/12*2*$E182*$G182*$I182*$M182*CC$9)+(CB182/12*10*$F182*$G182*$J182*$M182*CC$9)</f>
        <v>0</v>
      </c>
      <c r="CD182" s="37">
        <v>0</v>
      </c>
      <c r="CE182" s="36">
        <f>(CD182/12*2*$E182*$G182*$I182*$M182*CE$9)+(CD182/12*10*$F182*$G182*$J182*$M182*CE$9)</f>
        <v>0</v>
      </c>
      <c r="CF182" s="37">
        <v>0</v>
      </c>
      <c r="CG182" s="36">
        <f>(CF182/12*2*$E182*$G182*$I182*$N182*CG$9)+(CF182/12*10*$F182*$G182*$J182*$N182*CG$9)</f>
        <v>0</v>
      </c>
      <c r="CH182" s="37">
        <v>0</v>
      </c>
      <c r="CI182" s="36">
        <f>(CH182/12*2*$E182*$G182*$I182*$O182*$CI$9)+(CH182/12*10*$F182*$G182*$J182*$O182*$CI$9)</f>
        <v>0</v>
      </c>
      <c r="CJ182" s="36"/>
      <c r="CK182" s="36"/>
      <c r="CL182" s="36"/>
      <c r="CM182" s="36"/>
      <c r="CN182" s="41"/>
      <c r="CO182" s="41"/>
      <c r="CP182" s="42">
        <f t="shared" si="194"/>
        <v>0</v>
      </c>
      <c r="CQ182" s="42">
        <f t="shared" si="194"/>
        <v>0</v>
      </c>
    </row>
    <row r="183" spans="1:95" s="3" customFormat="1" ht="18.75" hidden="1" customHeight="1" x14ac:dyDescent="0.25">
      <c r="A183" s="54"/>
      <c r="B183" s="54">
        <v>117</v>
      </c>
      <c r="C183" s="55" t="s">
        <v>479</v>
      </c>
      <c r="D183" s="120" t="s">
        <v>480</v>
      </c>
      <c r="E183" s="110">
        <v>16026</v>
      </c>
      <c r="F183" s="110">
        <v>16828</v>
      </c>
      <c r="G183" s="76">
        <v>2.0099999999999998</v>
      </c>
      <c r="H183" s="34"/>
      <c r="I183" s="35">
        <v>1</v>
      </c>
      <c r="J183" s="47">
        <v>1</v>
      </c>
      <c r="K183" s="35"/>
      <c r="L183" s="97">
        <v>1.4</v>
      </c>
      <c r="M183" s="97">
        <v>1.68</v>
      </c>
      <c r="N183" s="97">
        <v>2.23</v>
      </c>
      <c r="O183" s="97">
        <v>2.57</v>
      </c>
      <c r="P183" s="36">
        <v>0</v>
      </c>
      <c r="Q183" s="36">
        <f>SUM(P183/12*2*$E183*$G183*$I183*$L183*$Q$9)+(P183/12*10*$F183*$G183*$J183*$L183*$Q$9)</f>
        <v>0</v>
      </c>
      <c r="R183" s="37">
        <v>0</v>
      </c>
      <c r="S183" s="36">
        <f>SUM(R183/12*2*$E183*$G183*$I183*$L183*S$9)+(R183/12*10*$F183*$G183*$J183*$L183*S$9)</f>
        <v>0</v>
      </c>
      <c r="T183" s="36">
        <v>0</v>
      </c>
      <c r="U183" s="36">
        <f>SUM(T183/12*2*$E183*$G183*$I183*$L183*U$9)+(T183/12*10*$F183*$G183*$J183*$L183*U$9)</f>
        <v>0</v>
      </c>
      <c r="V183" s="37">
        <v>0</v>
      </c>
      <c r="W183" s="36">
        <f>SUM(V183/12*2*$E183*$G183*$I183*$L183*$W$9)+(V183/12*10*$F183*$G183*$J183*$L183*$W$9)</f>
        <v>0</v>
      </c>
      <c r="X183" s="37">
        <v>0</v>
      </c>
      <c r="Y183" s="38">
        <f>SUM(X183/12*2*$E183*$G183*$I183*$L183*Y$9)+(X183/12*10*$F183*$G183*$J183*$L183*Y$9)</f>
        <v>0</v>
      </c>
      <c r="Z183" s="37"/>
      <c r="AA183" s="36"/>
      <c r="AB183" s="37"/>
      <c r="AC183" s="36">
        <f>(AB183/12*2*$E183*$G183*$I183*$L183)+(AB183/12*10*$F183*$G183*$J183*$L183)</f>
        <v>0</v>
      </c>
      <c r="AD183" s="39">
        <v>12</v>
      </c>
      <c r="AE183" s="36">
        <f>(AD183/12*2*$E183*$G183*$I183*$L183*AE$9)+(AD183/12*10*$F183*$G183*$J183*$L183*AE$9)</f>
        <v>563734.24799999991</v>
      </c>
      <c r="AF183" s="37">
        <v>0</v>
      </c>
      <c r="AG183" s="36">
        <f>(AF183/12*2*$E183*$G183*$I183*$M183*AG$9)+(AF183/12*10*$F183*$G183*$J183*$M183*AG$9)</f>
        <v>0</v>
      </c>
      <c r="AH183" s="37">
        <v>0</v>
      </c>
      <c r="AI183" s="36">
        <f>(AH183/12*2*$E183*$G183*$I183*$M183*$AI$9)+(AH183/12*10*$F183*$G183*$J183*$M183*$AI$9)</f>
        <v>0</v>
      </c>
      <c r="AJ183" s="36">
        <v>0</v>
      </c>
      <c r="AK183" s="36">
        <v>0</v>
      </c>
      <c r="AL183" s="37"/>
      <c r="AM183" s="36">
        <f>SUM(AL183/12*2*$E183*$G183*$I183*$L183*AM$9)+(AL183/12*10*$F183*$G183*$J183*$L183*AM$9)</f>
        <v>0</v>
      </c>
      <c r="AN183" s="37">
        <v>0</v>
      </c>
      <c r="AO183" s="36">
        <f>SUM(AN183/12*2*$E183*$G183*$I183*$L183*$AE$9)+(AN183/12*10*$F183*$G183*$J183*$L183*$AE$9)</f>
        <v>0</v>
      </c>
      <c r="AP183" s="37"/>
      <c r="AQ183" s="36"/>
      <c r="AR183" s="37"/>
      <c r="AS183" s="36">
        <f>SUM(AR183/12*2*$E183*$G183*$I183*$L183*AS$9)+(AR183/12*10*$F183*$G183*$J183*$L183*AS$9)</f>
        <v>0</v>
      </c>
      <c r="AT183" s="37">
        <v>0</v>
      </c>
      <c r="AU183" s="36">
        <f>SUM(AT183/12*2*$E183*$G183*$I183*$L183*$AI$9)+(AT183/12*10*$F183*$G183*$J183*$L183*$AI$9)</f>
        <v>0</v>
      </c>
      <c r="AV183" s="37">
        <v>0</v>
      </c>
      <c r="AW183" s="36">
        <f>SUM(AV183/12*2*$E183*$G183*$I183*$L183*AW$9)+(AV183/12*10*$F183*$G183*$J183*$L183*AW$9)</f>
        <v>0</v>
      </c>
      <c r="AX183" s="37">
        <v>0</v>
      </c>
      <c r="AY183" s="36">
        <f>SUM(AX183/12*2*$E183*$G183*$I183*$L183*AY$9)+(AX183/12*10*$F183*$G183*$J183*$L183*AY$9)</f>
        <v>0</v>
      </c>
      <c r="AZ183" s="37">
        <v>0</v>
      </c>
      <c r="BA183" s="36">
        <f>SUM(AZ183/12*2*$E183*$G183*$I183*$L183*BA$9)+(AZ183/12*10*$F183*$G183*$J183*$L183*BA$9)</f>
        <v>0</v>
      </c>
      <c r="BB183" s="37">
        <v>0</v>
      </c>
      <c r="BC183" s="36">
        <f>SUM(BB183/12*2*$E183*$G183*$I183*$L183*BC$9)+(BB183/12*10*$F183*$G183*$J183*$L183*BC$9)</f>
        <v>0</v>
      </c>
      <c r="BD183" s="37"/>
      <c r="BE183" s="36">
        <f>SUM(BD183/12*2*$E183*$G183*$I183*$L183*BE$9)+(BD183/12*10*$F183*$G183*$J183*$L183*BE$9)</f>
        <v>0</v>
      </c>
      <c r="BF183" s="36">
        <v>0</v>
      </c>
      <c r="BG183" s="39">
        <f>(BF183/12*2*$E183*$G183*$I183*$M183*BG$9)+(BF183/12*10*$F183*$G183*$J183*$M183*BG$9)</f>
        <v>0</v>
      </c>
      <c r="BH183" s="60">
        <v>0</v>
      </c>
      <c r="BI183" s="36">
        <f>(BH183/12*2*$E183*$G183*$I183*$M183*BI$9)+(BH183/12*10*$F183*$G183*$J183*$M183*BI$9)</f>
        <v>0</v>
      </c>
      <c r="BJ183" s="37">
        <v>0</v>
      </c>
      <c r="BK183" s="36">
        <f>(BJ183/12*2*$E183*$G183*$I183*$M183*BK$9)+(BJ183/12*10*$F183*$G183*$J183*$M183*BK$9)</f>
        <v>0</v>
      </c>
      <c r="BL183" s="37">
        <v>0</v>
      </c>
      <c r="BM183" s="36">
        <f>(BL183/12*2*$E183*$G183*$I183*$M183*BM$9)+(BL183/12*10*$F183*$G183*$J183*$M183*BM$9)</f>
        <v>0</v>
      </c>
      <c r="BN183" s="37">
        <v>0</v>
      </c>
      <c r="BO183" s="36">
        <f>(BN183/12*10*$F183*$G183*$J183*$M183*BO$9)</f>
        <v>0</v>
      </c>
      <c r="BP183" s="39"/>
      <c r="BQ183" s="36"/>
      <c r="BR183" s="36">
        <v>0</v>
      </c>
      <c r="BS183" s="36">
        <f>(BR183/12*10*$F183*$G183*$J183*$M183*BS$9)</f>
        <v>0</v>
      </c>
      <c r="BT183" s="37">
        <v>0</v>
      </c>
      <c r="BU183" s="36"/>
      <c r="BV183" s="36">
        <v>0</v>
      </c>
      <c r="BW183" s="36">
        <f>(BV183/12*2*$E183*$G183*$I183*$M183*BW$9)+(BV183/12*10*$F183*$G183*$J183*$M183*BW$9)</f>
        <v>0</v>
      </c>
      <c r="BX183" s="37">
        <v>0</v>
      </c>
      <c r="BY183" s="36">
        <f>(BX183/12*2*$E183*$G183*$I183*$M183*BY$9)+(BX183/12*10*$F183*$G183*$J183*$M183*BY$9)</f>
        <v>0</v>
      </c>
      <c r="BZ183" s="37"/>
      <c r="CA183" s="36">
        <f>(BZ183/12*2*$E183*$G183*$I183*$M183*CA$9)+(BZ183/12*10*$F183*$G183*$J183*$M183*CA$9)</f>
        <v>0</v>
      </c>
      <c r="CB183" s="37"/>
      <c r="CC183" s="36">
        <f>(CB183/12*2*$E183*$G183*$I183*$M183*CC$9)+(CB183/12*10*$F183*$G183*$J183*$M183*CC$9)</f>
        <v>0</v>
      </c>
      <c r="CD183" s="37">
        <v>0</v>
      </c>
      <c r="CE183" s="36">
        <f>(CD183/12*2*$E183*$G183*$I183*$M183*CE$9)+(CD183/12*10*$F183*$G183*$J183*$M183*CE$9)</f>
        <v>0</v>
      </c>
      <c r="CF183" s="37">
        <v>0</v>
      </c>
      <c r="CG183" s="36">
        <f>(CF183/12*2*$E183*$G183*$I183*$N183*CG$9)+(CF183/12*10*$F183*$G183*$J183*$N183*CG$9)</f>
        <v>0</v>
      </c>
      <c r="CH183" s="37">
        <v>0</v>
      </c>
      <c r="CI183" s="36">
        <f>(CH183/12*2*$E183*$G183*$I183*$O183*$CI$9)+(CH183/12*10*$F183*$G183*$J183*$O183*$CI$9)</f>
        <v>0</v>
      </c>
      <c r="CJ183" s="36"/>
      <c r="CK183" s="36"/>
      <c r="CL183" s="36"/>
      <c r="CM183" s="36"/>
      <c r="CN183" s="41"/>
      <c r="CO183" s="41"/>
      <c r="CP183" s="42">
        <f t="shared" si="194"/>
        <v>12</v>
      </c>
      <c r="CQ183" s="42">
        <f t="shared" si="194"/>
        <v>563734.24799999991</v>
      </c>
    </row>
    <row r="184" spans="1:95" s="3" customFormat="1" ht="18.75" hidden="1" customHeight="1" x14ac:dyDescent="0.25">
      <c r="A184" s="54"/>
      <c r="B184" s="54">
        <v>118</v>
      </c>
      <c r="C184" s="55" t="s">
        <v>481</v>
      </c>
      <c r="D184" s="120" t="s">
        <v>482</v>
      </c>
      <c r="E184" s="110">
        <v>16026</v>
      </c>
      <c r="F184" s="110">
        <v>16828</v>
      </c>
      <c r="G184" s="76">
        <v>3.5</v>
      </c>
      <c r="H184" s="34"/>
      <c r="I184" s="35">
        <v>1</v>
      </c>
      <c r="J184" s="47">
        <v>1</v>
      </c>
      <c r="K184" s="81"/>
      <c r="L184" s="97">
        <v>1.4</v>
      </c>
      <c r="M184" s="97">
        <v>1.68</v>
      </c>
      <c r="N184" s="97">
        <v>2.23</v>
      </c>
      <c r="O184" s="97">
        <v>2.57</v>
      </c>
      <c r="P184" s="36">
        <v>0</v>
      </c>
      <c r="Q184" s="36">
        <f>SUM(P184/12*2*$E184*$G184*$I184*$L184*$Q$9)+(P184/12*10*$F184*$G184*$J184*$L184*$Q$9)</f>
        <v>0</v>
      </c>
      <c r="R184" s="37">
        <v>0</v>
      </c>
      <c r="S184" s="36">
        <f>SUM(R184/12*2*$E184*$G184*$I184*$L184*S$9)+(R184/12*10*$F184*$G184*$J184*$L184*S$9)</f>
        <v>0</v>
      </c>
      <c r="T184" s="36">
        <v>0</v>
      </c>
      <c r="U184" s="36">
        <f>SUM(T184/12*2*$E184*$G184*$I184*$L184*U$9)+(T184/12*10*$F184*$G184*$J184*$L184*U$9)</f>
        <v>0</v>
      </c>
      <c r="V184" s="37">
        <v>0</v>
      </c>
      <c r="W184" s="36">
        <f>SUM(V184/12*2*$E184*$G184*$I184*$L184*$W$9)+(V184/12*10*$F184*$G184*$J184*$L184*$W$9)</f>
        <v>0</v>
      </c>
      <c r="X184" s="37">
        <v>0</v>
      </c>
      <c r="Y184" s="38">
        <f>SUM(X184/12*2*$E184*$G184*$I184*$L184*Y$9)+(X184/12*10*$F184*$G184*$J184*$L184*Y$9)</f>
        <v>0</v>
      </c>
      <c r="Z184" s="37"/>
      <c r="AA184" s="36"/>
      <c r="AB184" s="37">
        <v>0</v>
      </c>
      <c r="AC184" s="36">
        <f>(AB184/12*2*$E184*$G184*$I184*$L184)+(AB184/12*10*$F184*$G184*$J184*$L184)</f>
        <v>0</v>
      </c>
      <c r="AD184" s="36">
        <v>16</v>
      </c>
      <c r="AE184" s="36">
        <f>(AD184/12*2*$E184*$G184*$I184*$L184*AE$9)+(AD184/12*10*$F184*$G184*$J184*$L184*AE$9)</f>
        <v>1308835.7333333332</v>
      </c>
      <c r="AF184" s="37">
        <v>0</v>
      </c>
      <c r="AG184" s="36">
        <f>(AF184/12*2*$E184*$G184*$I184*$M184*AG$9)+(AF184/12*10*$F184*$G184*$J184*$M184*AG$9)</f>
        <v>0</v>
      </c>
      <c r="AH184" s="37">
        <v>0</v>
      </c>
      <c r="AI184" s="36">
        <f>(AH184/12*2*$E184*$G184*$I184*$M184*$AI$9)+(AH184/12*10*$F184*$G184*$J184*$M184*$AI$9)</f>
        <v>0</v>
      </c>
      <c r="AJ184" s="36">
        <v>0</v>
      </c>
      <c r="AK184" s="36">
        <v>0</v>
      </c>
      <c r="AL184" s="37"/>
      <c r="AM184" s="36">
        <f>SUM(AL184/12*2*$E184*$G184*$I184*$L184*AM$9)+(AL184/12*10*$F184*$G184*$J184*$L184*AM$9)</f>
        <v>0</v>
      </c>
      <c r="AN184" s="37">
        <v>0</v>
      </c>
      <c r="AO184" s="36">
        <f>SUM(AN184/12*2*$E184*$G184*$I184*$L184*$AE$9)+(AN184/12*10*$F184*$G184*$J184*$L184*$AE$9)</f>
        <v>0</v>
      </c>
      <c r="AP184" s="37"/>
      <c r="AQ184" s="36"/>
      <c r="AR184" s="37"/>
      <c r="AS184" s="36">
        <f>SUM(AR184/12*2*$E184*$G184*$I184*$L184*AS$9)+(AR184/12*10*$F184*$G184*$J184*$L184*AS$9)</f>
        <v>0</v>
      </c>
      <c r="AT184" s="37">
        <v>0</v>
      </c>
      <c r="AU184" s="36">
        <f>SUM(AT184/12*2*$E184*$G184*$I184*$L184*$AI$9)+(AT184/12*10*$F184*$G184*$J184*$L184*$AI$9)</f>
        <v>0</v>
      </c>
      <c r="AV184" s="37">
        <v>0</v>
      </c>
      <c r="AW184" s="36">
        <f>SUM(AV184/12*2*$E184*$G184*$I184*$L184*AW$9)+(AV184/12*10*$F184*$G184*$J184*$L184*AW$9)</f>
        <v>0</v>
      </c>
      <c r="AX184" s="37">
        <v>0</v>
      </c>
      <c r="AY184" s="36">
        <f>SUM(AX184/12*2*$E184*$G184*$I184*$L184*AY$9)+(AX184/12*10*$F184*$G184*$J184*$L184*AY$9)</f>
        <v>0</v>
      </c>
      <c r="AZ184" s="37">
        <v>0</v>
      </c>
      <c r="BA184" s="36">
        <f>SUM(AZ184/12*2*$E184*$G184*$I184*$L184*BA$9)+(AZ184/12*10*$F184*$G184*$J184*$L184*BA$9)</f>
        <v>0</v>
      </c>
      <c r="BB184" s="37">
        <v>0</v>
      </c>
      <c r="BC184" s="36">
        <f>SUM(BB184/12*2*$E184*$G184*$I184*$L184*BC$9)+(BB184/12*10*$F184*$G184*$J184*$L184*BC$9)</f>
        <v>0</v>
      </c>
      <c r="BD184" s="37"/>
      <c r="BE184" s="36">
        <f>SUM(BD184/12*2*$E184*$G184*$I184*$L184*BE$9)+(BD184/12*10*$F184*$G184*$J184*$L184*BE$9)</f>
        <v>0</v>
      </c>
      <c r="BF184" s="36">
        <v>0</v>
      </c>
      <c r="BG184" s="39">
        <f>(BF184/12*2*$E184*$G184*$I184*$M184*BG$9)+(BF184/12*10*$F184*$G184*$J184*$M184*BG$9)</f>
        <v>0</v>
      </c>
      <c r="BH184" s="60">
        <v>0</v>
      </c>
      <c r="BI184" s="36">
        <f>(BH184/12*2*$E184*$G184*$I184*$M184*BI$9)+(BH184/12*10*$F184*$G184*$J184*$M184*BI$9)</f>
        <v>0</v>
      </c>
      <c r="BJ184" s="37">
        <v>0</v>
      </c>
      <c r="BK184" s="36">
        <f>(BJ184/12*2*$E184*$G184*$I184*$M184*BK$9)+(BJ184/12*10*$F184*$G184*$J184*$M184*BK$9)</f>
        <v>0</v>
      </c>
      <c r="BL184" s="37">
        <v>0</v>
      </c>
      <c r="BM184" s="36">
        <f>(BL184/12*2*$E184*$G184*$I184*$M184*BM$9)+(BL184/12*10*$F184*$G184*$J184*$M184*BM$9)</f>
        <v>0</v>
      </c>
      <c r="BN184" s="37">
        <v>0</v>
      </c>
      <c r="BO184" s="36">
        <f>(BN184/12*10*$F184*$G184*$J184*$M184*BO$9)</f>
        <v>0</v>
      </c>
      <c r="BP184" s="39"/>
      <c r="BQ184" s="36"/>
      <c r="BR184" s="36">
        <v>0</v>
      </c>
      <c r="BS184" s="36">
        <f>(BR184/12*10*$F184*$G184*$J184*$M184*BS$9)</f>
        <v>0</v>
      </c>
      <c r="BT184" s="37">
        <v>0</v>
      </c>
      <c r="BU184" s="36"/>
      <c r="BV184" s="36">
        <v>0</v>
      </c>
      <c r="BW184" s="36">
        <f>(BV184/12*2*$E184*$G184*$I184*$M184*BW$9)+(BV184/12*10*$F184*$G184*$J184*$M184*BW$9)</f>
        <v>0</v>
      </c>
      <c r="BX184" s="37">
        <v>0</v>
      </c>
      <c r="BY184" s="36">
        <f>(BX184/12*2*$E184*$G184*$I184*$M184*BY$9)+(BX184/12*10*$F184*$G184*$J184*$M184*BY$9)</f>
        <v>0</v>
      </c>
      <c r="BZ184" s="37"/>
      <c r="CA184" s="36">
        <f>(BZ184/12*2*$E184*$G184*$I184*$M184*CA$9)+(BZ184/12*10*$F184*$G184*$J184*$M184*CA$9)</f>
        <v>0</v>
      </c>
      <c r="CB184" s="37"/>
      <c r="CC184" s="36">
        <f>(CB184/12*2*$E184*$G184*$I184*$M184*CC$9)+(CB184/12*10*$F184*$G184*$J184*$M184*CC$9)</f>
        <v>0</v>
      </c>
      <c r="CD184" s="37">
        <v>0</v>
      </c>
      <c r="CE184" s="36">
        <f>(CD184/12*2*$E184*$G184*$I184*$M184*CE$9)+(CD184/12*10*$F184*$G184*$J184*$M184*CE$9)</f>
        <v>0</v>
      </c>
      <c r="CF184" s="37">
        <v>0</v>
      </c>
      <c r="CG184" s="36">
        <f>(CF184/12*2*$E184*$G184*$I184*$N184*CG$9)+(CF184/12*10*$F184*$G184*$J184*$N184*CG$9)</f>
        <v>0</v>
      </c>
      <c r="CH184" s="37">
        <v>0</v>
      </c>
      <c r="CI184" s="36">
        <f>(CH184/12*2*$E184*$G184*$I184*$O184*$CI$9)+(CH184/12*10*$F184*$G184*$J184*$O184*$CI$9)</f>
        <v>0</v>
      </c>
      <c r="CJ184" s="36"/>
      <c r="CK184" s="36"/>
      <c r="CL184" s="36"/>
      <c r="CM184" s="36"/>
      <c r="CN184" s="41"/>
      <c r="CO184" s="41"/>
      <c r="CP184" s="42">
        <f t="shared" si="194"/>
        <v>16</v>
      </c>
      <c r="CQ184" s="42">
        <f t="shared" si="194"/>
        <v>1308835.7333333332</v>
      </c>
    </row>
    <row r="185" spans="1:95" s="3" customFormat="1" ht="30" hidden="1" customHeight="1" x14ac:dyDescent="0.25">
      <c r="A185" s="54"/>
      <c r="B185" s="54">
        <v>119</v>
      </c>
      <c r="C185" s="55" t="s">
        <v>483</v>
      </c>
      <c r="D185" s="120" t="s">
        <v>484</v>
      </c>
      <c r="E185" s="110">
        <v>16026</v>
      </c>
      <c r="F185" s="110">
        <v>16828</v>
      </c>
      <c r="G185" s="76">
        <v>2.04</v>
      </c>
      <c r="H185" s="77">
        <v>0.1032</v>
      </c>
      <c r="I185" s="35">
        <v>1.4</v>
      </c>
      <c r="J185" s="47">
        <v>1.2</v>
      </c>
      <c r="K185" s="81"/>
      <c r="L185" s="97">
        <v>1.4</v>
      </c>
      <c r="M185" s="97">
        <v>1.68</v>
      </c>
      <c r="N185" s="97">
        <v>2.23</v>
      </c>
      <c r="O185" s="97">
        <v>2.57</v>
      </c>
      <c r="P185" s="36"/>
      <c r="Q185" s="48">
        <f>(P185/12*2*$E185*$G185*((1-$H185)+$H185*$L185*$I185))+(P185/12*10*$F185*$G185*((1-$H185)+$H185*$L185*$I185))</f>
        <v>0</v>
      </c>
      <c r="R185" s="37"/>
      <c r="S185" s="48">
        <f>(R185/12*2*$E185*$G185*((1-$H185)+$H185*$L185*$I185))+(R185/12*10*$F185*$G185*((1-$H185)+$H185*$L185*$I185))</f>
        <v>0</v>
      </c>
      <c r="T185" s="36"/>
      <c r="U185" s="48">
        <f>(T185/12*2*$E185*$G185*((1-$H185)+$H185*$L185*$I185))+(T185/12*10*$F185*$G185*((1-$H185)+$H185*$L185*$I185))</f>
        <v>0</v>
      </c>
      <c r="V185" s="37"/>
      <c r="W185" s="48">
        <f>(V185/12*2*$E185*$G185*((1-$H185)+$H185*$L185*$I185))+(V185/12*10*$F185*$G185*((1-$H185)+$H185*$L185*$I185))</f>
        <v>0</v>
      </c>
      <c r="X185" s="37"/>
      <c r="Y185" s="48">
        <f>(X185/12*2*$E185*$G185*((1-$H185)+$H185*$L185*$I185))+(X185/12*10*$F185*$G185*((1-$H185)+$H185*$L185*$J185))</f>
        <v>0</v>
      </c>
      <c r="Z185" s="37"/>
      <c r="AA185" s="48">
        <f>(Z185/12*2*$E185*$G185*((1-$H185)+$H185*$L185*$I185))+(Z185/12*10*$F185*$G185*((1-$H185)+$H185*$L185*$J185))</f>
        <v>0</v>
      </c>
      <c r="AB185" s="37"/>
      <c r="AC185" s="48"/>
      <c r="AD185" s="36"/>
      <c r="AE185" s="48">
        <f>(AD185/12*2*$E185*$G185*((1-$H185)+$H185*$L185*$I185))+(AD185/12*10*$F185*$G185*((1-$H185)+$H185*$L185*$J185))</f>
        <v>0</v>
      </c>
      <c r="AF185" s="37"/>
      <c r="AG185" s="48">
        <f>(AF185/12*2*$E185*$G185*((1-$H185)+$H185*$M185*$I185))+(AF185/12*10*$F185*$G185*((1-$H185)+$H185*$M185*$J185))</f>
        <v>0</v>
      </c>
      <c r="AH185" s="37"/>
      <c r="AI185" s="48">
        <f>(AH185/12*2*$E185*$G185*((1-$H185)+$H185*$M185*$I185))+(AH185/12*10*$F185*$G185*((1-$H185)+$H185*$M185*$J185))</f>
        <v>0</v>
      </c>
      <c r="AJ185" s="48">
        <v>0</v>
      </c>
      <c r="AK185" s="48">
        <v>0</v>
      </c>
      <c r="AL185" s="37"/>
      <c r="AM185" s="36"/>
      <c r="AN185" s="37"/>
      <c r="AO185" s="48"/>
      <c r="AP185" s="37"/>
      <c r="AQ185" s="36"/>
      <c r="AR185" s="37"/>
      <c r="AS185" s="48"/>
      <c r="AT185" s="37"/>
      <c r="AU185" s="36"/>
      <c r="AV185" s="37"/>
      <c r="AW185" s="48"/>
      <c r="AX185" s="37"/>
      <c r="AY185" s="48"/>
      <c r="AZ185" s="37"/>
      <c r="BA185" s="48"/>
      <c r="BB185" s="37"/>
      <c r="BC185" s="48"/>
      <c r="BD185" s="37"/>
      <c r="BE185" s="48"/>
      <c r="BF185" s="37"/>
      <c r="BG185" s="48"/>
      <c r="BH185" s="63"/>
      <c r="BI185" s="48"/>
      <c r="BJ185" s="37"/>
      <c r="BK185" s="48"/>
      <c r="BL185" s="37"/>
      <c r="BM185" s="48"/>
      <c r="BN185" s="37"/>
      <c r="BO185" s="48"/>
      <c r="BP185" s="39"/>
      <c r="BQ185" s="48"/>
      <c r="BR185" s="37"/>
      <c r="BS185" s="48"/>
      <c r="BT185" s="37"/>
      <c r="BU185" s="48"/>
      <c r="BV185" s="36"/>
      <c r="BW185" s="48"/>
      <c r="BX185" s="37"/>
      <c r="BY185" s="48"/>
      <c r="BZ185" s="37"/>
      <c r="CA185" s="48"/>
      <c r="CB185" s="37"/>
      <c r="CC185" s="48">
        <f>(CB185/12*2*$E185*$G185*((1-$H185)+$H185*$M185*$I185*CC$9))+(CB185/12*10*$F185*$G185*((1-$H185)+$H185*$M185*$I185*CC$9))</f>
        <v>0</v>
      </c>
      <c r="CD185" s="37"/>
      <c r="CE185" s="48"/>
      <c r="CF185" s="37"/>
      <c r="CG185" s="48"/>
      <c r="CH185" s="37"/>
      <c r="CI185" s="48"/>
      <c r="CJ185" s="36"/>
      <c r="CK185" s="36"/>
      <c r="CL185" s="36"/>
      <c r="CM185" s="36"/>
      <c r="CN185" s="41"/>
      <c r="CO185" s="41"/>
      <c r="CP185" s="42">
        <f t="shared" si="194"/>
        <v>0</v>
      </c>
      <c r="CQ185" s="42">
        <f t="shared" si="194"/>
        <v>0</v>
      </c>
    </row>
    <row r="186" spans="1:95" ht="18.75" hidden="1" customHeight="1" x14ac:dyDescent="0.25">
      <c r="A186" s="124">
        <v>22</v>
      </c>
      <c r="B186" s="124"/>
      <c r="C186" s="149" t="s">
        <v>485</v>
      </c>
      <c r="D186" s="141" t="s">
        <v>486</v>
      </c>
      <c r="E186" s="110">
        <v>16026</v>
      </c>
      <c r="F186" s="134">
        <v>16828</v>
      </c>
      <c r="G186" s="138">
        <v>0.93</v>
      </c>
      <c r="H186" s="136"/>
      <c r="I186" s="128"/>
      <c r="J186" s="129"/>
      <c r="K186" s="29"/>
      <c r="L186" s="97">
        <v>1.4</v>
      </c>
      <c r="M186" s="97">
        <v>1.68</v>
      </c>
      <c r="N186" s="97">
        <v>2.23</v>
      </c>
      <c r="O186" s="97">
        <v>2.57</v>
      </c>
      <c r="P186" s="139">
        <f>SUM(P187:P188)</f>
        <v>0</v>
      </c>
      <c r="Q186" s="139">
        <f t="shared" ref="Q186:BH186" si="195">SUM(Q187:Q188)</f>
        <v>0</v>
      </c>
      <c r="R186" s="139">
        <f t="shared" si="195"/>
        <v>0</v>
      </c>
      <c r="S186" s="139">
        <f t="shared" si="195"/>
        <v>0</v>
      </c>
      <c r="T186" s="139">
        <f t="shared" si="195"/>
        <v>0</v>
      </c>
      <c r="U186" s="139">
        <f t="shared" si="195"/>
        <v>0</v>
      </c>
      <c r="V186" s="139">
        <f t="shared" si="195"/>
        <v>0</v>
      </c>
      <c r="W186" s="139">
        <f t="shared" si="195"/>
        <v>0</v>
      </c>
      <c r="X186" s="139">
        <f t="shared" si="195"/>
        <v>0</v>
      </c>
      <c r="Y186" s="139">
        <f t="shared" si="195"/>
        <v>0</v>
      </c>
      <c r="Z186" s="139">
        <f t="shared" si="195"/>
        <v>0</v>
      </c>
      <c r="AA186" s="139">
        <f t="shared" si="195"/>
        <v>0</v>
      </c>
      <c r="AB186" s="139">
        <f t="shared" si="195"/>
        <v>0</v>
      </c>
      <c r="AC186" s="139">
        <f t="shared" si="195"/>
        <v>0</v>
      </c>
      <c r="AD186" s="139">
        <f t="shared" si="195"/>
        <v>0</v>
      </c>
      <c r="AE186" s="139">
        <f t="shared" si="195"/>
        <v>0</v>
      </c>
      <c r="AF186" s="139">
        <f t="shared" si="195"/>
        <v>0</v>
      </c>
      <c r="AG186" s="139">
        <f t="shared" si="195"/>
        <v>0</v>
      </c>
      <c r="AH186" s="139">
        <f>SUM(AH187:AH188)</f>
        <v>0</v>
      </c>
      <c r="AI186" s="139">
        <f t="shared" si="195"/>
        <v>0</v>
      </c>
      <c r="AJ186" s="139">
        <v>0</v>
      </c>
      <c r="AK186" s="139">
        <v>0</v>
      </c>
      <c r="AL186" s="139">
        <f t="shared" si="195"/>
        <v>0</v>
      </c>
      <c r="AM186" s="139">
        <f t="shared" si="195"/>
        <v>0</v>
      </c>
      <c r="AN186" s="139">
        <f t="shared" si="195"/>
        <v>10</v>
      </c>
      <c r="AO186" s="139">
        <f t="shared" si="195"/>
        <v>190538.32</v>
      </c>
      <c r="AP186" s="139">
        <f t="shared" si="195"/>
        <v>0</v>
      </c>
      <c r="AQ186" s="139">
        <f t="shared" si="195"/>
        <v>0</v>
      </c>
      <c r="AR186" s="139">
        <f t="shared" si="195"/>
        <v>0</v>
      </c>
      <c r="AS186" s="139">
        <f t="shared" si="195"/>
        <v>0</v>
      </c>
      <c r="AT186" s="139">
        <f t="shared" si="195"/>
        <v>0</v>
      </c>
      <c r="AU186" s="139">
        <f t="shared" si="195"/>
        <v>0</v>
      </c>
      <c r="AV186" s="139">
        <f t="shared" si="195"/>
        <v>10</v>
      </c>
      <c r="AW186" s="139">
        <f t="shared" si="195"/>
        <v>190538.32</v>
      </c>
      <c r="AX186" s="139">
        <f t="shared" si="195"/>
        <v>0</v>
      </c>
      <c r="AY186" s="139">
        <f t="shared" si="195"/>
        <v>0</v>
      </c>
      <c r="AZ186" s="139">
        <f t="shared" si="195"/>
        <v>0</v>
      </c>
      <c r="BA186" s="139">
        <f>SUM(BA187:BA188)</f>
        <v>0</v>
      </c>
      <c r="BB186" s="139">
        <f t="shared" si="195"/>
        <v>0</v>
      </c>
      <c r="BC186" s="139">
        <f>SUM(BC187:BC188)</f>
        <v>0</v>
      </c>
      <c r="BD186" s="139">
        <f t="shared" si="195"/>
        <v>31</v>
      </c>
      <c r="BE186" s="139">
        <f t="shared" si="195"/>
        <v>590668.79200000002</v>
      </c>
      <c r="BF186" s="139">
        <f t="shared" si="195"/>
        <v>27</v>
      </c>
      <c r="BG186" s="139">
        <f t="shared" si="195"/>
        <v>617344.1568</v>
      </c>
      <c r="BH186" s="139">
        <f t="shared" si="195"/>
        <v>0</v>
      </c>
      <c r="BI186" s="139">
        <f>SUM(BI187:BI188)</f>
        <v>0</v>
      </c>
      <c r="BJ186" s="139">
        <f t="shared" ref="BJ186:BT186" si="196">SUM(BJ187:BJ188)</f>
        <v>0</v>
      </c>
      <c r="BK186" s="139">
        <f t="shared" si="196"/>
        <v>0</v>
      </c>
      <c r="BL186" s="139">
        <f t="shared" si="196"/>
        <v>22</v>
      </c>
      <c r="BM186" s="139">
        <f t="shared" si="196"/>
        <v>940788.30719999992</v>
      </c>
      <c r="BN186" s="139">
        <f t="shared" si="196"/>
        <v>7</v>
      </c>
      <c r="BO186" s="139">
        <f>SUM(BO187:BO188)</f>
        <v>132096.43440000003</v>
      </c>
      <c r="BP186" s="139">
        <f t="shared" si="196"/>
        <v>0</v>
      </c>
      <c r="BQ186" s="139">
        <f>SUM(BQ187:BQ188)</f>
        <v>0</v>
      </c>
      <c r="BR186" s="139">
        <f t="shared" si="196"/>
        <v>7</v>
      </c>
      <c r="BS186" s="139">
        <f>SUM(BS187:BS188)</f>
        <v>162205.092</v>
      </c>
      <c r="BT186" s="139">
        <f t="shared" si="196"/>
        <v>0</v>
      </c>
      <c r="BU186" s="139">
        <f>SUM(BU187:BU188)</f>
        <v>0</v>
      </c>
      <c r="BV186" s="139">
        <f t="shared" ref="BV186:CQ186" si="197">SUM(BV187:BV188)</f>
        <v>8</v>
      </c>
      <c r="BW186" s="139">
        <f t="shared" si="197"/>
        <v>182916.78719999999</v>
      </c>
      <c r="BX186" s="139">
        <f t="shared" si="197"/>
        <v>4</v>
      </c>
      <c r="BY186" s="139">
        <f t="shared" si="197"/>
        <v>91458.393599999996</v>
      </c>
      <c r="BZ186" s="139">
        <f t="shared" si="197"/>
        <v>0</v>
      </c>
      <c r="CA186" s="139">
        <f t="shared" si="197"/>
        <v>0</v>
      </c>
      <c r="CB186" s="139">
        <f t="shared" si="197"/>
        <v>10</v>
      </c>
      <c r="CC186" s="139">
        <f t="shared" si="197"/>
        <v>45290.2</v>
      </c>
      <c r="CD186" s="139">
        <f t="shared" si="197"/>
        <v>0</v>
      </c>
      <c r="CE186" s="139">
        <f t="shared" si="197"/>
        <v>0</v>
      </c>
      <c r="CF186" s="139">
        <f t="shared" si="197"/>
        <v>0</v>
      </c>
      <c r="CG186" s="139">
        <f t="shared" si="197"/>
        <v>0</v>
      </c>
      <c r="CH186" s="139">
        <f t="shared" si="197"/>
        <v>0</v>
      </c>
      <c r="CI186" s="139">
        <f t="shared" si="197"/>
        <v>0</v>
      </c>
      <c r="CJ186" s="139">
        <f t="shared" si="197"/>
        <v>0</v>
      </c>
      <c r="CK186" s="139">
        <f t="shared" si="197"/>
        <v>0</v>
      </c>
      <c r="CL186" s="139">
        <f t="shared" si="197"/>
        <v>0</v>
      </c>
      <c r="CM186" s="139">
        <f t="shared" si="197"/>
        <v>0</v>
      </c>
      <c r="CN186" s="139">
        <f t="shared" si="197"/>
        <v>0</v>
      </c>
      <c r="CO186" s="139">
        <f t="shared" si="197"/>
        <v>0</v>
      </c>
      <c r="CP186" s="139">
        <f t="shared" si="197"/>
        <v>136</v>
      </c>
      <c r="CQ186" s="139">
        <f t="shared" si="197"/>
        <v>3143844.8032000004</v>
      </c>
    </row>
    <row r="187" spans="1:95" s="3" customFormat="1" ht="30" hidden="1" customHeight="1" x14ac:dyDescent="0.25">
      <c r="A187" s="54"/>
      <c r="B187" s="54">
        <v>120</v>
      </c>
      <c r="C187" s="55" t="s">
        <v>487</v>
      </c>
      <c r="D187" s="121" t="s">
        <v>488</v>
      </c>
      <c r="E187" s="110">
        <v>16026</v>
      </c>
      <c r="F187" s="110">
        <v>16828</v>
      </c>
      <c r="G187" s="33">
        <v>2.31</v>
      </c>
      <c r="H187" s="34"/>
      <c r="I187" s="35">
        <v>1</v>
      </c>
      <c r="J187" s="47">
        <v>0.9</v>
      </c>
      <c r="K187" s="35"/>
      <c r="L187" s="97">
        <v>1.4</v>
      </c>
      <c r="M187" s="97">
        <v>1.68</v>
      </c>
      <c r="N187" s="97">
        <v>2.23</v>
      </c>
      <c r="O187" s="97">
        <v>2.57</v>
      </c>
      <c r="P187" s="36"/>
      <c r="Q187" s="36">
        <f>SUM(P187/12*2*$E187*$G187*$I187*$L187*$Q$9)+(P187/12*10*$F187*$G187*$J187*$L187*$Q$9)</f>
        <v>0</v>
      </c>
      <c r="R187" s="37"/>
      <c r="S187" s="36">
        <f>SUM(R187/12*2*$E187*$G187*$I187*$L187*S$9)+(R187/12*10*$F187*$G187*$J187*$L187*S$9)</f>
        <v>0</v>
      </c>
      <c r="T187" s="36"/>
      <c r="U187" s="36">
        <f>SUM(T187/12*2*$E187*$G187*$I187*$L187*U$9)+(T187/12*10*$F187*$G187*$J187*$L187*U$9)</f>
        <v>0</v>
      </c>
      <c r="V187" s="37"/>
      <c r="W187" s="36">
        <f>SUM(V187/12*2*$E187*$G187*$I187*$L187*$W$9)+(V187/12*10*$F187*$G187*$J187*$L187*$W$9)</f>
        <v>0</v>
      </c>
      <c r="X187" s="37"/>
      <c r="Y187" s="38">
        <f>SUM(X187/12*2*$E187*$G187*$I187*$L187*Y$9)+(X187/12*10*$F187*$G187*$J187*$L187*Y$9)</f>
        <v>0</v>
      </c>
      <c r="Z187" s="37"/>
      <c r="AA187" s="36"/>
      <c r="AB187" s="37"/>
      <c r="AC187" s="36">
        <f>(AB187/12*2*$E187*$G187*$I187*$L187)+(AB187/12*10*$F187*$G187*$J187*$L187)</f>
        <v>0</v>
      </c>
      <c r="AD187" s="37">
        <v>0</v>
      </c>
      <c r="AE187" s="36">
        <f>(AD187/12*2*$E187*$G187*$I187*$L187*AE$9)+(AD187/12*10*$F187*$G187*$J187*$L187*AE$9)</f>
        <v>0</v>
      </c>
      <c r="AF187" s="37">
        <v>0</v>
      </c>
      <c r="AG187" s="36">
        <f>(AF187/12*2*$E187*$G187*$I187*$M187*AG$9)+(AF187/12*10*$F187*$G187*$J187*$M187*AG$9)</f>
        <v>0</v>
      </c>
      <c r="AH187" s="37"/>
      <c r="AI187" s="36">
        <f>(AH187/12*2*$E187*$G187*$I187*$M187*$AI$9)+(AH187/12*10*$F187*$G187*$J187*$M187*$AI$9)</f>
        <v>0</v>
      </c>
      <c r="AJ187" s="36">
        <v>0</v>
      </c>
      <c r="AK187" s="36">
        <v>0</v>
      </c>
      <c r="AL187" s="37"/>
      <c r="AM187" s="36">
        <f>SUM(AL187/12*2*$E187*$G187*$I187*$L187*AM$9)+(AL187/12*10*$F187*$G187*$J187*$L187*AM$9)</f>
        <v>0</v>
      </c>
      <c r="AN187" s="37"/>
      <c r="AO187" s="36">
        <f>SUM(AN187/12*2*$E187*$G187*$I187*$L187*$AE$9)+(AN187/12*10*$F187*$G187*$J187*$L187*$AE$9)</f>
        <v>0</v>
      </c>
      <c r="AP187" s="37"/>
      <c r="AQ187" s="36"/>
      <c r="AR187" s="37"/>
      <c r="AS187" s="36">
        <f>SUM(AR187/12*2*$E187*$G187*$I187*$L187*AS$9)+(AR187/12*10*$F187*$G187*$J187*$L187*AS$9)</f>
        <v>0</v>
      </c>
      <c r="AT187" s="37"/>
      <c r="AU187" s="36">
        <f>SUM(AT187/12*2*$E187*$G187*$I187*$L187*$AI$9)+(AT187/12*10*$F187*$G187*$J187*$L187*$AI$9)</f>
        <v>0</v>
      </c>
      <c r="AV187" s="37"/>
      <c r="AW187" s="36">
        <f>SUM(AV187/12*2*$E187*$G187*$I187*$L187*AW$9)+(AV187/12*10*$F187*$G187*$J187*$L187*AW$9)</f>
        <v>0</v>
      </c>
      <c r="AX187" s="37"/>
      <c r="AY187" s="36">
        <f>SUM(AX187/12*2*$E187*$G187*$I187*$L187*AY$9)+(AX187/12*10*$F187*$G187*$J187*$L187*AY$9)</f>
        <v>0</v>
      </c>
      <c r="AZ187" s="37"/>
      <c r="BA187" s="36">
        <f>SUM(AZ187/12*2*$E187*$G187*$I187*$L187*BA$9)+(AZ187/12*10*$F187*$G187*$J187*$L187*BA$9)</f>
        <v>0</v>
      </c>
      <c r="BB187" s="37"/>
      <c r="BC187" s="36">
        <f>SUM(BB187/12*2*$E187*$G187*$I187*$L187*BC$9)+(BB187/12*10*$F187*$G187*$J187*$L187*BC$9)</f>
        <v>0</v>
      </c>
      <c r="BD187" s="37"/>
      <c r="BE187" s="36">
        <f>SUM(BD187/12*2*$E187*$G187*$I187*$L187*BE$9)+(BD187/12*10*$F187*$G187*$J187*$L187*BE$9)</f>
        <v>0</v>
      </c>
      <c r="BF187" s="36"/>
      <c r="BG187" s="39">
        <f>(BF187/12*2*$E187*$G187*$I187*$M187*BG$9)+(BF187/12*10*$F187*$G187*$J187*$M187*BG$9)</f>
        <v>0</v>
      </c>
      <c r="BH187" s="60"/>
      <c r="BI187" s="36">
        <f>(BH187/12*2*$E187*$G187*$I187*$M187*BI$9)+(BH187/12*10*$F187*$G187*$J187*$M187*BI$9)</f>
        <v>0</v>
      </c>
      <c r="BJ187" s="37"/>
      <c r="BK187" s="36">
        <f>(BJ187/12*2*$E187*$G187*$I187*$M187*BK$9)+(BJ187/12*10*$F187*$G187*$J187*$M187*BK$9)</f>
        <v>0</v>
      </c>
      <c r="BL187" s="36">
        <v>12</v>
      </c>
      <c r="BM187" s="36">
        <f>(BL187/12*2*$E187*$G187*$I187*$M187*BM$9)+(BL187/12*10*$F187*$G187*$J187*$M187*BM$9)</f>
        <v>712142.32319999998</v>
      </c>
      <c r="BN187" s="37"/>
      <c r="BO187" s="36">
        <f>(BN187/12*10*$F187*$G187*$J187*$M187*BO$9)</f>
        <v>0</v>
      </c>
      <c r="BP187" s="39"/>
      <c r="BQ187" s="36"/>
      <c r="BR187" s="58">
        <v>1</v>
      </c>
      <c r="BS187" s="36">
        <f>(BR187/12*10*$F187*$G187*$J187*$M187*BS$9)</f>
        <v>48979.576799999995</v>
      </c>
      <c r="BT187" s="37"/>
      <c r="BU187" s="36"/>
      <c r="BV187" s="36"/>
      <c r="BW187" s="36">
        <f>(BV187/12*2*$E187*$G187*$I187*$M187*BW$9)+(BV187/12*10*$F187*$G187*$J187*$M187*BW$9)</f>
        <v>0</v>
      </c>
      <c r="BX187" s="37"/>
      <c r="BY187" s="36">
        <f>(BX187/12*2*$E187*$G187*$I187*$M187*BY$9)+(BX187/12*10*$F187*$G187*$J187*$M187*BY$9)</f>
        <v>0</v>
      </c>
      <c r="BZ187" s="37"/>
      <c r="CA187" s="36">
        <f>(BZ187/12*2*$E187*$G187*$I187*$M187*CA$9)+(BZ187/12*10*$F187*$G187*$J187*$M187*CA$9)</f>
        <v>0</v>
      </c>
      <c r="CB187" s="37"/>
      <c r="CC187" s="36">
        <f>(CB187/12*2*$E187*$G187*$I187*$M187*CC$9)+(CB187/12*10*$F187*$G187*$J187*$M187*CC$9)</f>
        <v>0</v>
      </c>
      <c r="CD187" s="37"/>
      <c r="CE187" s="36">
        <f>(CD187/12*2*$E187*$G187*$I187*$M187*CE$9)+(CD187/12*10*$F187*$G187*$J187*$M187*CE$9)</f>
        <v>0</v>
      </c>
      <c r="CF187" s="37"/>
      <c r="CG187" s="36">
        <f>(CF187/12*2*$E187*$G187*$I187*$N187*CG$9)+(CF187/12*10*$F187*$G187*$J187*$N187*CG$9)</f>
        <v>0</v>
      </c>
      <c r="CH187" s="37"/>
      <c r="CI187" s="36">
        <f>(CH187/12*2*$E187*$G187*$I187*$O187*$CI$9)+(CH187/12*10*$F187*$G187*$J187*$O187*$CI$9)</f>
        <v>0</v>
      </c>
      <c r="CJ187" s="36"/>
      <c r="CK187" s="36"/>
      <c r="CL187" s="36"/>
      <c r="CM187" s="36"/>
      <c r="CN187" s="41"/>
      <c r="CO187" s="41"/>
      <c r="CP187" s="42">
        <f t="shared" ref="CP187:CQ188" si="198">SUM(R187+P187+T187+V187+AB187+Z187+X187+AF187+AD187+AH187+AJ187+BF187+BJ187+AL187+AT187+AV187+BT187+BV187+BR187+BX187+BZ187+BN187+AN187+AP187+AR187+BH187+BL187+AX187+AZ187+BB187+BD187+BP187+CB187+CD187+CF187+CH187+CJ187+CL187)</f>
        <v>13</v>
      </c>
      <c r="CQ187" s="42">
        <f t="shared" si="198"/>
        <v>761121.9</v>
      </c>
    </row>
    <row r="188" spans="1:95" s="4" customFormat="1" ht="18.75" hidden="1" customHeight="1" x14ac:dyDescent="0.25">
      <c r="A188" s="56"/>
      <c r="B188" s="54">
        <v>121</v>
      </c>
      <c r="C188" s="55" t="s">
        <v>489</v>
      </c>
      <c r="D188" s="121" t="s">
        <v>490</v>
      </c>
      <c r="E188" s="110">
        <v>16026</v>
      </c>
      <c r="F188" s="110">
        <v>16828</v>
      </c>
      <c r="G188" s="33">
        <v>0.89</v>
      </c>
      <c r="H188" s="34"/>
      <c r="I188" s="57">
        <v>1</v>
      </c>
      <c r="J188" s="47">
        <v>0.9</v>
      </c>
      <c r="K188" s="57"/>
      <c r="L188" s="97">
        <v>1.4</v>
      </c>
      <c r="M188" s="97">
        <v>1.68</v>
      </c>
      <c r="N188" s="97">
        <v>2.23</v>
      </c>
      <c r="O188" s="97">
        <v>2.57</v>
      </c>
      <c r="P188" s="36"/>
      <c r="Q188" s="36">
        <f>SUM(P188/12*2*$E188*$G188*$I188*$L188*$Q$9)+(P188/12*10*$F188*$G188*$J188*$L188*$Q$9)</f>
        <v>0</v>
      </c>
      <c r="R188" s="37"/>
      <c r="S188" s="36">
        <f>SUM(R188/12*2*$E188*$G188*$I188*$L188*S$9)+(R188/12*10*$F188*$G188*$J188*$L188*S$9)</f>
        <v>0</v>
      </c>
      <c r="T188" s="36">
        <v>0</v>
      </c>
      <c r="U188" s="36">
        <f>SUM(T188/12*2*$E188*$G188*$I188*$L188*U$9)+(T188/12*10*$F188*$G188*$J188*$L188*U$9)</f>
        <v>0</v>
      </c>
      <c r="V188" s="37"/>
      <c r="W188" s="36">
        <f>SUM(V188/12*2*$E188*$G188*$I188*$L188*$W$9)+(V188/12*10*$F188*$G188*$J188*$L188*$W$9)</f>
        <v>0</v>
      </c>
      <c r="X188" s="37"/>
      <c r="Y188" s="38">
        <f>SUM(X188/12*2*$E188*$G188*$I188*$L188*Y$9)+(X188/12*10*$F188*$G188*$J188*$L188*Y$9)</f>
        <v>0</v>
      </c>
      <c r="Z188" s="37"/>
      <c r="AA188" s="36"/>
      <c r="AB188" s="37">
        <v>0</v>
      </c>
      <c r="AC188" s="36">
        <f>(AB188/12*2*$E188*$G188*$I188*$L188)+(AB188/12*10*$F188*$G188*$J188*$L188)</f>
        <v>0</v>
      </c>
      <c r="AD188" s="37">
        <v>0</v>
      </c>
      <c r="AE188" s="36">
        <f>(AD188/12*2*$E188*$G188*$I188*$L188*AE$9)+(AD188/12*10*$F188*$G188*$J188*$L188*AE$9)</f>
        <v>0</v>
      </c>
      <c r="AF188" s="37">
        <v>0</v>
      </c>
      <c r="AG188" s="36">
        <f>(AF188/12*2*$E188*$G188*$I188*$M188*AG$9)+(AF188/12*10*$F188*$G188*$J188*$M188*AG$9)</f>
        <v>0</v>
      </c>
      <c r="AH188" s="37"/>
      <c r="AI188" s="36">
        <f>(AH188/12*2*$E188*$G188*$I188*$M188*$AI$9)+(AH188/12*10*$F188*$G188*$J188*$M188*$AI$9)</f>
        <v>0</v>
      </c>
      <c r="AJ188" s="36">
        <v>0</v>
      </c>
      <c r="AK188" s="36">
        <v>0</v>
      </c>
      <c r="AL188" s="37"/>
      <c r="AM188" s="36">
        <f>SUM(AL188/12*2*$E188*$G188*$I188*$L188*AM$9)+(AL188/12*10*$F188*$G188*$J188*$L188*AM$9)</f>
        <v>0</v>
      </c>
      <c r="AN188" s="36">
        <v>10</v>
      </c>
      <c r="AO188" s="36">
        <f>SUM(AN188/12*2*$E188*$G188*$I188*$L188*$AE$9)+(AN188/12*10*$F188*$G188*$J188*$L188*$AE$9)</f>
        <v>190538.32</v>
      </c>
      <c r="AP188" s="37"/>
      <c r="AQ188" s="36"/>
      <c r="AR188" s="37"/>
      <c r="AS188" s="36">
        <f>SUM(AR188/12*2*$E188*$G188*$I188*$L188*AS$9)+(AR188/12*10*$F188*$G188*$J188*$L188*AS$9)</f>
        <v>0</v>
      </c>
      <c r="AT188" s="37"/>
      <c r="AU188" s="36">
        <f>SUM(AT188/12*2*$E188*$G188*$I188*$L188*$AI$9)+(AT188/12*10*$F188*$G188*$J188*$L188*$AI$9)</f>
        <v>0</v>
      </c>
      <c r="AV188" s="36">
        <v>10</v>
      </c>
      <c r="AW188" s="36">
        <f>SUM(AV188/12*2*$E188*$G188*$I188*$L188*AW$9)+(AV188/12*10*$F188*$G188*$J188*$L188*AW$9)</f>
        <v>190538.32</v>
      </c>
      <c r="AX188" s="37"/>
      <c r="AY188" s="36">
        <f>SUM(AX188/12*2*$E188*$G188*$I188*$L188*AY$9)+(AX188/12*10*$F188*$G188*$J188*$L188*AY$9)</f>
        <v>0</v>
      </c>
      <c r="AZ188" s="37"/>
      <c r="BA188" s="36">
        <f>SUM(AZ188/12*2*$E188*$G188*$I188*$L188*BA$9)+(AZ188/12*10*$F188*$G188*$J188*$L188*BA$9)</f>
        <v>0</v>
      </c>
      <c r="BB188" s="37"/>
      <c r="BC188" s="36">
        <f>SUM(BB188/12*2*$E188*$G188*$I188*$L188*BC$9)+(BB188/12*10*$F188*$G188*$J188*$L188*BC$9)</f>
        <v>0</v>
      </c>
      <c r="BD188" s="36">
        <v>31</v>
      </c>
      <c r="BE188" s="36">
        <f>SUM(BD188/12*2*$E188*$G188*$I188*$L188*BE$9)+(BD188/12*10*$F188*$G188*$J188*$L188*BE$9)</f>
        <v>590668.79200000002</v>
      </c>
      <c r="BF188" s="36">
        <v>27</v>
      </c>
      <c r="BG188" s="39">
        <f>(BF188/12*2*$E188*$G188*$I188*$M188*BG$9)+(BF188/12*10*$F188*$G188*$J188*$M188*BG$9)</f>
        <v>617344.1568</v>
      </c>
      <c r="BH188" s="60"/>
      <c r="BI188" s="36">
        <f>(BH188/12*2*$E188*$G188*$I188*$M188*BI$9)+(BH188/12*10*$F188*$G188*$J188*$M188*BI$9)</f>
        <v>0</v>
      </c>
      <c r="BJ188" s="40"/>
      <c r="BK188" s="36">
        <f>(BJ188/12*2*$E188*$G188*$I188*$M188*BK$9)+(BJ188/12*10*$F188*$G188*$J188*$M188*BK$9)</f>
        <v>0</v>
      </c>
      <c r="BL188" s="36">
        <v>10</v>
      </c>
      <c r="BM188" s="36">
        <f>(BL188/12*2*$E188*$G188*$I188*$M188*BM$9)+(BL188/12*10*$F188*$G188*$J188*$M188*BM$9)</f>
        <v>228645.984</v>
      </c>
      <c r="BN188" s="36">
        <v>7</v>
      </c>
      <c r="BO188" s="36">
        <f>(BN188/12*10*$F188*$G188*$J188*$M188*BO$9)</f>
        <v>132096.43440000003</v>
      </c>
      <c r="BP188" s="39"/>
      <c r="BQ188" s="36"/>
      <c r="BR188" s="58">
        <v>6</v>
      </c>
      <c r="BS188" s="36">
        <f>(BR188/12*10*$F188*$G188*$J188*$M188*BS$9)</f>
        <v>113225.51520000002</v>
      </c>
      <c r="BT188" s="37"/>
      <c r="BU188" s="36"/>
      <c r="BV188" s="36">
        <v>8</v>
      </c>
      <c r="BW188" s="36">
        <f>(BV188/12*2*$E188*$G188*$I188*$M188*BW$9)+(BV188/12*10*$F188*$G188*$J188*$M188*BW$9)</f>
        <v>182916.78719999999</v>
      </c>
      <c r="BX188" s="36">
        <v>4</v>
      </c>
      <c r="BY188" s="36">
        <f>(BX188/12*2*$E188*$G188*$I188*$M188*BY$9)+(BX188/12*10*$F188*$G188*$J188*$M188*BY$9)</f>
        <v>91458.393599999996</v>
      </c>
      <c r="BZ188" s="37"/>
      <c r="CA188" s="36">
        <f>(BZ188/12*2*$E188*$G188*$I188*$M188*CA$9)+(BZ188/12*10*$F188*$G188*$J188*$M188*CA$9)</f>
        <v>0</v>
      </c>
      <c r="CB188" s="36">
        <v>10</v>
      </c>
      <c r="CC188" s="36">
        <v>45290.2</v>
      </c>
      <c r="CD188" s="37"/>
      <c r="CE188" s="36">
        <f>(CD188/12*2*$E188*$G188*$I188*$M188*CE$9)+(CD188/12*10*$F188*$G188*$J188*$M188*CE$9)</f>
        <v>0</v>
      </c>
      <c r="CF188" s="40"/>
      <c r="CG188" s="36">
        <f>(CF188/12*2*$E188*$G188*$I188*$N188*CG$9)+(CF188/12*10*$F188*$G188*$J188*$N188*CG$9)</f>
        <v>0</v>
      </c>
      <c r="CH188" s="40"/>
      <c r="CI188" s="36">
        <f>(CH188/12*2*$E188*$G188*$I188*$O188*$CI$9)+(CH188/12*10*$F188*$G188*$J188*$O188*$CI$9)</f>
        <v>0</v>
      </c>
      <c r="CJ188" s="36"/>
      <c r="CK188" s="36"/>
      <c r="CL188" s="36"/>
      <c r="CM188" s="36"/>
      <c r="CN188" s="41"/>
      <c r="CO188" s="41"/>
      <c r="CP188" s="42">
        <f t="shared" si="198"/>
        <v>123</v>
      </c>
      <c r="CQ188" s="42">
        <f t="shared" si="198"/>
        <v>2382722.9032000005</v>
      </c>
    </row>
    <row r="189" spans="1:95" ht="18.75" hidden="1" customHeight="1" x14ac:dyDescent="0.25">
      <c r="A189" s="124">
        <v>23</v>
      </c>
      <c r="B189" s="124"/>
      <c r="C189" s="149" t="s">
        <v>491</v>
      </c>
      <c r="D189" s="141" t="s">
        <v>492</v>
      </c>
      <c r="E189" s="110">
        <v>16026</v>
      </c>
      <c r="F189" s="134">
        <v>16828</v>
      </c>
      <c r="G189" s="138">
        <v>0.9</v>
      </c>
      <c r="H189" s="136"/>
      <c r="I189" s="128"/>
      <c r="J189" s="129"/>
      <c r="K189" s="29"/>
      <c r="L189" s="97">
        <v>1.4</v>
      </c>
      <c r="M189" s="97">
        <v>1.68</v>
      </c>
      <c r="N189" s="97">
        <v>2.23</v>
      </c>
      <c r="O189" s="97">
        <v>2.57</v>
      </c>
      <c r="P189" s="139">
        <f>P190</f>
        <v>0</v>
      </c>
      <c r="Q189" s="139">
        <f t="shared" ref="Q189:CB189" si="199">Q190</f>
        <v>0</v>
      </c>
      <c r="R189" s="139">
        <f t="shared" si="199"/>
        <v>0</v>
      </c>
      <c r="S189" s="139">
        <f t="shared" si="199"/>
        <v>0</v>
      </c>
      <c r="T189" s="139">
        <f t="shared" si="199"/>
        <v>0</v>
      </c>
      <c r="U189" s="139">
        <f t="shared" si="199"/>
        <v>0</v>
      </c>
      <c r="V189" s="139">
        <f t="shared" si="199"/>
        <v>0</v>
      </c>
      <c r="W189" s="139">
        <f t="shared" si="199"/>
        <v>0</v>
      </c>
      <c r="X189" s="139">
        <f t="shared" si="199"/>
        <v>0</v>
      </c>
      <c r="Y189" s="139">
        <f t="shared" si="199"/>
        <v>0</v>
      </c>
      <c r="Z189" s="139">
        <f t="shared" si="199"/>
        <v>0</v>
      </c>
      <c r="AA189" s="139">
        <f t="shared" si="199"/>
        <v>0</v>
      </c>
      <c r="AB189" s="139">
        <f t="shared" si="199"/>
        <v>0</v>
      </c>
      <c r="AC189" s="139">
        <f t="shared" si="199"/>
        <v>0</v>
      </c>
      <c r="AD189" s="139">
        <f t="shared" si="199"/>
        <v>12</v>
      </c>
      <c r="AE189" s="139">
        <f t="shared" si="199"/>
        <v>241816.67999999996</v>
      </c>
      <c r="AF189" s="139">
        <f t="shared" si="199"/>
        <v>0</v>
      </c>
      <c r="AG189" s="139">
        <f t="shared" si="199"/>
        <v>0</v>
      </c>
      <c r="AH189" s="139">
        <f>AH190</f>
        <v>12</v>
      </c>
      <c r="AI189" s="139">
        <f t="shared" si="199"/>
        <v>290180.016</v>
      </c>
      <c r="AJ189" s="139">
        <v>5</v>
      </c>
      <c r="AK189" s="139">
        <v>120918.27000000002</v>
      </c>
      <c r="AL189" s="139">
        <f t="shared" si="199"/>
        <v>0</v>
      </c>
      <c r="AM189" s="139">
        <f t="shared" si="199"/>
        <v>0</v>
      </c>
      <c r="AN189" s="139">
        <f t="shared" si="199"/>
        <v>70</v>
      </c>
      <c r="AO189" s="139">
        <f t="shared" si="199"/>
        <v>1410597.2999999998</v>
      </c>
      <c r="AP189" s="139">
        <f t="shared" si="199"/>
        <v>0</v>
      </c>
      <c r="AQ189" s="139">
        <f t="shared" si="199"/>
        <v>0</v>
      </c>
      <c r="AR189" s="139">
        <f t="shared" si="199"/>
        <v>0</v>
      </c>
      <c r="AS189" s="139">
        <f t="shared" si="199"/>
        <v>0</v>
      </c>
      <c r="AT189" s="139">
        <f t="shared" si="199"/>
        <v>0</v>
      </c>
      <c r="AU189" s="139">
        <f t="shared" si="199"/>
        <v>0</v>
      </c>
      <c r="AV189" s="139">
        <f t="shared" si="199"/>
        <v>15</v>
      </c>
      <c r="AW189" s="139">
        <f t="shared" si="199"/>
        <v>302270.84999999998</v>
      </c>
      <c r="AX189" s="139">
        <f t="shared" si="199"/>
        <v>0</v>
      </c>
      <c r="AY189" s="139">
        <f t="shared" si="199"/>
        <v>0</v>
      </c>
      <c r="AZ189" s="139">
        <f t="shared" si="199"/>
        <v>0</v>
      </c>
      <c r="BA189" s="139">
        <f t="shared" si="199"/>
        <v>0</v>
      </c>
      <c r="BB189" s="139">
        <f t="shared" si="199"/>
        <v>0</v>
      </c>
      <c r="BC189" s="139">
        <f t="shared" si="199"/>
        <v>0</v>
      </c>
      <c r="BD189" s="139">
        <f t="shared" si="199"/>
        <v>331</v>
      </c>
      <c r="BE189" s="139">
        <f t="shared" si="199"/>
        <v>6670110.0899999989</v>
      </c>
      <c r="BF189" s="139">
        <f t="shared" si="199"/>
        <v>19</v>
      </c>
      <c r="BG189" s="139">
        <f t="shared" si="199"/>
        <v>459451.69199999998</v>
      </c>
      <c r="BH189" s="139">
        <f t="shared" si="199"/>
        <v>0</v>
      </c>
      <c r="BI189" s="139">
        <f t="shared" si="199"/>
        <v>0</v>
      </c>
      <c r="BJ189" s="139">
        <f t="shared" si="199"/>
        <v>0</v>
      </c>
      <c r="BK189" s="139">
        <f t="shared" si="199"/>
        <v>0</v>
      </c>
      <c r="BL189" s="139">
        <f t="shared" si="199"/>
        <v>0</v>
      </c>
      <c r="BM189" s="139">
        <f t="shared" si="199"/>
        <v>0</v>
      </c>
      <c r="BN189" s="139">
        <f t="shared" si="199"/>
        <v>140</v>
      </c>
      <c r="BO189" s="139">
        <f t="shared" si="199"/>
        <v>2820036.2399999998</v>
      </c>
      <c r="BP189" s="139">
        <f t="shared" si="199"/>
        <v>0</v>
      </c>
      <c r="BQ189" s="139">
        <f t="shared" si="199"/>
        <v>0</v>
      </c>
      <c r="BR189" s="139">
        <f t="shared" si="199"/>
        <v>40</v>
      </c>
      <c r="BS189" s="139">
        <f t="shared" si="199"/>
        <v>805724.64</v>
      </c>
      <c r="BT189" s="139">
        <f t="shared" si="199"/>
        <v>0</v>
      </c>
      <c r="BU189" s="139">
        <f t="shared" si="199"/>
        <v>0</v>
      </c>
      <c r="BV189" s="139">
        <f t="shared" si="199"/>
        <v>15</v>
      </c>
      <c r="BW189" s="139">
        <f t="shared" si="199"/>
        <v>362725.02</v>
      </c>
      <c r="BX189" s="139">
        <f t="shared" si="199"/>
        <v>70</v>
      </c>
      <c r="BY189" s="139">
        <f t="shared" si="199"/>
        <v>1692716.7599999998</v>
      </c>
      <c r="BZ189" s="139">
        <f t="shared" si="199"/>
        <v>0</v>
      </c>
      <c r="CA189" s="139">
        <f t="shared" si="199"/>
        <v>0</v>
      </c>
      <c r="CB189" s="139">
        <f t="shared" si="199"/>
        <v>28</v>
      </c>
      <c r="CC189" s="139">
        <f t="shared" ref="CC189:CQ189" si="200">CC190</f>
        <v>145209.15000000002</v>
      </c>
      <c r="CD189" s="139">
        <f t="shared" si="200"/>
        <v>10</v>
      </c>
      <c r="CE189" s="139">
        <f t="shared" si="200"/>
        <v>241816.68</v>
      </c>
      <c r="CF189" s="139">
        <f t="shared" si="200"/>
        <v>60</v>
      </c>
      <c r="CG189" s="139">
        <f t="shared" si="200"/>
        <v>1925897.1300000001</v>
      </c>
      <c r="CH189" s="139">
        <f t="shared" si="200"/>
        <v>20</v>
      </c>
      <c r="CI189" s="139">
        <f t="shared" si="200"/>
        <v>739843.89</v>
      </c>
      <c r="CJ189" s="139">
        <f t="shared" si="200"/>
        <v>0</v>
      </c>
      <c r="CK189" s="139">
        <f t="shared" si="200"/>
        <v>0</v>
      </c>
      <c r="CL189" s="139">
        <f t="shared" si="200"/>
        <v>0</v>
      </c>
      <c r="CM189" s="139">
        <f t="shared" si="200"/>
        <v>0</v>
      </c>
      <c r="CN189" s="139">
        <f t="shared" si="200"/>
        <v>0</v>
      </c>
      <c r="CO189" s="139">
        <f t="shared" si="200"/>
        <v>0</v>
      </c>
      <c r="CP189" s="139">
        <f t="shared" si="200"/>
        <v>847</v>
      </c>
      <c r="CQ189" s="139">
        <f t="shared" si="200"/>
        <v>18229314.408</v>
      </c>
    </row>
    <row r="190" spans="1:95" s="3" customFormat="1" ht="18.75" hidden="1" customHeight="1" x14ac:dyDescent="0.25">
      <c r="A190" s="54"/>
      <c r="B190" s="54">
        <v>122</v>
      </c>
      <c r="C190" s="55" t="s">
        <v>493</v>
      </c>
      <c r="D190" s="120" t="s">
        <v>494</v>
      </c>
      <c r="E190" s="110">
        <v>16026</v>
      </c>
      <c r="F190" s="110">
        <v>16828</v>
      </c>
      <c r="G190" s="33">
        <v>0.9</v>
      </c>
      <c r="H190" s="34"/>
      <c r="I190" s="35">
        <v>1</v>
      </c>
      <c r="J190" s="47">
        <v>0.95</v>
      </c>
      <c r="K190" s="35"/>
      <c r="L190" s="97">
        <v>1.4</v>
      </c>
      <c r="M190" s="97">
        <v>1.68</v>
      </c>
      <c r="N190" s="97">
        <v>2.23</v>
      </c>
      <c r="O190" s="97">
        <v>2.57</v>
      </c>
      <c r="P190" s="36"/>
      <c r="Q190" s="36">
        <f>SUM(P190/12*2*$E190*$G190*$I190*$L190*$Q$9)+(P190/12*10*$F190*$G190*$J190*$L190*$Q$9)</f>
        <v>0</v>
      </c>
      <c r="R190" s="37"/>
      <c r="S190" s="36">
        <f>SUM(R190/12*2*$E190*$G190*$I190*$L190*S$9)+(R190/12*10*$F190*$G190*$J190*$L190*S$9)</f>
        <v>0</v>
      </c>
      <c r="T190" s="36">
        <v>0</v>
      </c>
      <c r="U190" s="36">
        <f>SUM(T190/12*2*$E190*$G190*$I190*$L190*U$9)+(T190/12*10*$F190*$G190*$J190*$L190*U$9)</f>
        <v>0</v>
      </c>
      <c r="V190" s="37"/>
      <c r="W190" s="36">
        <f>SUM(V190/12*2*$E190*$G190*$I190*$L190*$W$9)+(V190/12*10*$F190*$G190*$J190*$L190*$W$9)</f>
        <v>0</v>
      </c>
      <c r="X190" s="37"/>
      <c r="Y190" s="38">
        <f>SUM(X190/12*2*$E190*$G190*$I190*$L190*Y$9)+(X190/12*10*$F190*$G190*$J190*$L190*Y$9)</f>
        <v>0</v>
      </c>
      <c r="Z190" s="37"/>
      <c r="AA190" s="36"/>
      <c r="AB190" s="36">
        <v>0</v>
      </c>
      <c r="AC190" s="36">
        <f>(AB190/12*2*$E190*$G190*$I190*$L190)+(AB190/12*10*$F190*$G190*$J190*$L190)</f>
        <v>0</v>
      </c>
      <c r="AD190" s="39">
        <v>12</v>
      </c>
      <c r="AE190" s="36">
        <f>(AD190/12*2*$E190*$G190*$I190*$L190*AE$9)+(AD190/12*10*$F190*$G190*$J190*$L190*AE$9)</f>
        <v>241816.67999999996</v>
      </c>
      <c r="AF190" s="37">
        <v>0</v>
      </c>
      <c r="AG190" s="36">
        <f>(AF190/12*2*$E190*$G190*$I190*$M190*AG$9)+(AF190/12*10*$F190*$G190*$J190*$M190*AG$9)</f>
        <v>0</v>
      </c>
      <c r="AH190" s="58">
        <v>12</v>
      </c>
      <c r="AI190" s="36">
        <f>(AH190/12*2*$E190*$G190*$I190*$M190*$AI$9)+(AH190/12*10*$F190*$G190*$J190*$M190*$AI$9)</f>
        <v>290180.016</v>
      </c>
      <c r="AJ190" s="36">
        <v>5</v>
      </c>
      <c r="AK190" s="36">
        <v>120918.27000000002</v>
      </c>
      <c r="AL190" s="37"/>
      <c r="AM190" s="36">
        <f>SUM(AL190/12*2*$E190*$G190*$I190*$L190*AM$9)+(AL190/12*10*$F190*$G190*$J190*$L190*AM$9)</f>
        <v>0</v>
      </c>
      <c r="AN190" s="36">
        <v>70</v>
      </c>
      <c r="AO190" s="36">
        <f>SUM(AN190/12*2*$E190*$G190*$I190*$L190*$AE$9)+(AN190/12*10*$F190*$G190*$J190*$L190*$AE$9)</f>
        <v>1410597.2999999998</v>
      </c>
      <c r="AP190" s="37"/>
      <c r="AQ190" s="36"/>
      <c r="AR190" s="37"/>
      <c r="AS190" s="36">
        <f>SUM(AR190/12*2*$E190*$G190*$I190*$L190*AS$9)+(AR190/12*10*$F190*$G190*$J190*$L190*AS$9)</f>
        <v>0</v>
      </c>
      <c r="AT190" s="37"/>
      <c r="AU190" s="36">
        <f>SUM(AT190/12*2*$E190*$G190*$I190*$L190*$AI$9)+(AT190/12*10*$F190*$G190*$J190*$L190*$AI$9)</f>
        <v>0</v>
      </c>
      <c r="AV190" s="36">
        <v>15</v>
      </c>
      <c r="AW190" s="36">
        <f>SUM(AV190/12*2*$E190*$G190*$I190*$L190*AW$9)+(AV190/12*10*$F190*$G190*$J190*$L190*AW$9)</f>
        <v>302270.84999999998</v>
      </c>
      <c r="AX190" s="36"/>
      <c r="AY190" s="36">
        <f>SUM(AX190/12*2*$E190*$G190*$I190*$L190*AY$9)+(AX190/12*10*$F190*$G190*$J190*$L190*AY$9)</f>
        <v>0</v>
      </c>
      <c r="AZ190" s="37"/>
      <c r="BA190" s="36">
        <f>SUM(AZ190/12*2*$E190*$G190*$I190*$L190*BA$9)+(AZ190/12*10*$F190*$G190*$J190*$L190*BA$9)</f>
        <v>0</v>
      </c>
      <c r="BB190" s="36"/>
      <c r="BC190" s="36">
        <f>SUM(BB190/12*2*$E190*$G190*$I190*$L190*BC$9)+(BB190/12*10*$F190*$G190*$J190*$L190*BC$9)</f>
        <v>0</v>
      </c>
      <c r="BD190" s="36">
        <v>331</v>
      </c>
      <c r="BE190" s="36">
        <f>SUM(BD190/12*2*$E190*$G190*$I190*$L190*BE$9)+(BD190/12*10*$F190*$G190*$J190*$L190*BE$9)</f>
        <v>6670110.0899999989</v>
      </c>
      <c r="BF190" s="36">
        <v>19</v>
      </c>
      <c r="BG190" s="39">
        <f>(BF190/12*2*$E190*$G190*$I190*$M190*BG$9)+(BF190/12*10*$F190*$G190*$J190*$M190*BG$9)</f>
        <v>459451.69199999998</v>
      </c>
      <c r="BH190" s="60"/>
      <c r="BI190" s="36">
        <f>(BH190/12*2*$E190*$G190*$I190*$M190*BI$9)+(BH190/12*10*$F190*$G190*$J190*$M190*BI$9)</f>
        <v>0</v>
      </c>
      <c r="BJ190" s="40"/>
      <c r="BK190" s="36">
        <f>(BJ190/12*2*$E190*$G190*$I190*$M190*BK$9)+(BJ190/12*10*$F190*$G190*$J190*$M190*BK$9)</f>
        <v>0</v>
      </c>
      <c r="BL190" s="40"/>
      <c r="BM190" s="36">
        <f>(BL190/12*2*$E190*$G190*$I190*$M190*BM$9)+(BL190/12*10*$F190*$G190*$J190*$M190*BM$9)</f>
        <v>0</v>
      </c>
      <c r="BN190" s="36">
        <v>140</v>
      </c>
      <c r="BO190" s="36">
        <f>(BN190/12*10*$F190*$G190*$J190*$M190*BO$9)</f>
        <v>2820036.2399999998</v>
      </c>
      <c r="BP190" s="59"/>
      <c r="BQ190" s="36"/>
      <c r="BR190" s="58">
        <v>40</v>
      </c>
      <c r="BS190" s="36">
        <f>(BR190/12*10*$F190*$G190*$J190*$M190*BS$9)</f>
        <v>805724.64</v>
      </c>
      <c r="BT190" s="37"/>
      <c r="BU190" s="36"/>
      <c r="BV190" s="36">
        <v>15</v>
      </c>
      <c r="BW190" s="36">
        <f>(BV190/12*2*$E190*$G190*$I190*$M190*BW$9)+(BV190/12*10*$F190*$G190*$J190*$M190*BW$9)</f>
        <v>362725.02</v>
      </c>
      <c r="BX190" s="58">
        <v>70</v>
      </c>
      <c r="BY190" s="36">
        <f>(BX190/12*2*$E190*$G190*$I190*$M190*BY$9)+(BX190/12*10*$F190*$G190*$J190*$M190*BY$9)</f>
        <v>1692716.7599999998</v>
      </c>
      <c r="BZ190" s="40"/>
      <c r="CA190" s="36">
        <f>(BZ190/12*2*$E190*$G190*$I190*$M190*CA$9)+(BZ190/12*10*$F190*$G190*$J190*$M190*CA$9)</f>
        <v>0</v>
      </c>
      <c r="CB190" s="36">
        <v>28</v>
      </c>
      <c r="CC190" s="36">
        <v>145209.15000000002</v>
      </c>
      <c r="CD190" s="36">
        <v>10</v>
      </c>
      <c r="CE190" s="36">
        <f>(CD190/12*2*$E190*$G190*$I190*$M190*CE$9)+(CD190/12*10*$F190*$G190*$J190*$M190*CE$9)</f>
        <v>241816.68</v>
      </c>
      <c r="CF190" s="58">
        <v>60</v>
      </c>
      <c r="CG190" s="36">
        <f>(CF190/12*2*$E190*$G190*$I190*$N190*CG$9)+(CF190/12*10*$F190*$G190*$J190*$N190*CG$9)</f>
        <v>1925897.1300000001</v>
      </c>
      <c r="CH190" s="58">
        <v>20</v>
      </c>
      <c r="CI190" s="36">
        <f>(CH190/12*2*$E190*$G190*$I190*$O190*$CI$9)+(CH190/12*10*$F190*$G190*$J190*$O190*$CI$9)</f>
        <v>739843.89</v>
      </c>
      <c r="CJ190" s="36"/>
      <c r="CK190" s="36"/>
      <c r="CL190" s="36"/>
      <c r="CM190" s="36"/>
      <c r="CN190" s="41"/>
      <c r="CO190" s="41"/>
      <c r="CP190" s="42">
        <f>SUM(R190+P190+T190+V190+AB190+Z190+X190+AF190+AD190+AH190+AJ190+BF190+BJ190+AL190+AT190+AV190+BT190+BV190+BR190+BX190+BZ190+BN190+AN190+AP190+AR190+BH190+BL190+AX190+AZ190+BB190+BD190+BP190+CB190+CD190+CF190+CH190+CJ190+CL190)</f>
        <v>847</v>
      </c>
      <c r="CQ190" s="42">
        <f>SUM(S190+Q190+U190+W190+AC190+AA190+Y190+AG190+AE190+AI190+AK190+BG190+BK190+AM190+AU190+AW190+BU190+BW190+BS190+BY190+CA190+BO190+AO190+AQ190+AS190+BI190+BM190+AY190+BA190+BC190+BE190+BQ190+CC190+CE190+CG190+CI190+CK190+CM190)</f>
        <v>18229314.408</v>
      </c>
    </row>
    <row r="191" spans="1:95" ht="18.75" hidden="1" customHeight="1" x14ac:dyDescent="0.25">
      <c r="A191" s="124">
        <v>24</v>
      </c>
      <c r="B191" s="124"/>
      <c r="C191" s="149" t="s">
        <v>495</v>
      </c>
      <c r="D191" s="141" t="s">
        <v>496</v>
      </c>
      <c r="E191" s="110">
        <v>16026</v>
      </c>
      <c r="F191" s="134">
        <v>16828</v>
      </c>
      <c r="G191" s="138">
        <v>1.46</v>
      </c>
      <c r="H191" s="136"/>
      <c r="I191" s="128"/>
      <c r="J191" s="129"/>
      <c r="K191" s="29"/>
      <c r="L191" s="97">
        <v>1.4</v>
      </c>
      <c r="M191" s="97">
        <v>1.68</v>
      </c>
      <c r="N191" s="97">
        <v>2.23</v>
      </c>
      <c r="O191" s="97">
        <v>2.57</v>
      </c>
      <c r="P191" s="139">
        <f>P192</f>
        <v>77</v>
      </c>
      <c r="Q191" s="139">
        <f t="shared" ref="Q191:CB191" si="201">Q192</f>
        <v>2517132.5153333331</v>
      </c>
      <c r="R191" s="139">
        <f t="shared" si="201"/>
        <v>0</v>
      </c>
      <c r="S191" s="139">
        <f t="shared" si="201"/>
        <v>0</v>
      </c>
      <c r="T191" s="139">
        <f t="shared" si="201"/>
        <v>0</v>
      </c>
      <c r="U191" s="139">
        <f t="shared" si="201"/>
        <v>0</v>
      </c>
      <c r="V191" s="139">
        <f t="shared" si="201"/>
        <v>0</v>
      </c>
      <c r="W191" s="139">
        <f t="shared" si="201"/>
        <v>0</v>
      </c>
      <c r="X191" s="139">
        <f t="shared" si="201"/>
        <v>0</v>
      </c>
      <c r="Y191" s="139">
        <f t="shared" si="201"/>
        <v>0</v>
      </c>
      <c r="Z191" s="139">
        <f t="shared" si="201"/>
        <v>0</v>
      </c>
      <c r="AA191" s="139">
        <f t="shared" si="201"/>
        <v>0</v>
      </c>
      <c r="AB191" s="139">
        <f t="shared" si="201"/>
        <v>0</v>
      </c>
      <c r="AC191" s="139">
        <f t="shared" si="201"/>
        <v>0</v>
      </c>
      <c r="AD191" s="139">
        <f t="shared" si="201"/>
        <v>0</v>
      </c>
      <c r="AE191" s="139">
        <f t="shared" si="201"/>
        <v>0</v>
      </c>
      <c r="AF191" s="139">
        <f t="shared" si="201"/>
        <v>0</v>
      </c>
      <c r="AG191" s="139">
        <f t="shared" si="201"/>
        <v>0</v>
      </c>
      <c r="AH191" s="139">
        <f>AH192</f>
        <v>17</v>
      </c>
      <c r="AI191" s="139">
        <f t="shared" si="201"/>
        <v>666876.6664000001</v>
      </c>
      <c r="AJ191" s="139">
        <v>3</v>
      </c>
      <c r="AK191" s="139">
        <v>117732.43</v>
      </c>
      <c r="AL191" s="139">
        <f t="shared" si="201"/>
        <v>0</v>
      </c>
      <c r="AM191" s="139">
        <f t="shared" si="201"/>
        <v>0</v>
      </c>
      <c r="AN191" s="139">
        <f t="shared" si="201"/>
        <v>0</v>
      </c>
      <c r="AO191" s="139">
        <f t="shared" si="201"/>
        <v>0</v>
      </c>
      <c r="AP191" s="139">
        <f t="shared" si="201"/>
        <v>0</v>
      </c>
      <c r="AQ191" s="139">
        <f t="shared" si="201"/>
        <v>0</v>
      </c>
      <c r="AR191" s="139">
        <f t="shared" si="201"/>
        <v>0</v>
      </c>
      <c r="AS191" s="139">
        <f t="shared" si="201"/>
        <v>0</v>
      </c>
      <c r="AT191" s="139">
        <f t="shared" si="201"/>
        <v>0</v>
      </c>
      <c r="AU191" s="139">
        <f t="shared" si="201"/>
        <v>0</v>
      </c>
      <c r="AV191" s="139">
        <f t="shared" si="201"/>
        <v>39</v>
      </c>
      <c r="AW191" s="139">
        <f t="shared" si="201"/>
        <v>1274911.2739999997</v>
      </c>
      <c r="AX191" s="139">
        <f t="shared" si="201"/>
        <v>0</v>
      </c>
      <c r="AY191" s="139">
        <f t="shared" si="201"/>
        <v>0</v>
      </c>
      <c r="AZ191" s="139">
        <f t="shared" si="201"/>
        <v>0</v>
      </c>
      <c r="BA191" s="139">
        <f t="shared" si="201"/>
        <v>0</v>
      </c>
      <c r="BB191" s="139">
        <f t="shared" si="201"/>
        <v>0</v>
      </c>
      <c r="BC191" s="139">
        <f t="shared" si="201"/>
        <v>0</v>
      </c>
      <c r="BD191" s="139">
        <f t="shared" si="201"/>
        <v>2</v>
      </c>
      <c r="BE191" s="139">
        <f t="shared" si="201"/>
        <v>65380.065333333318</v>
      </c>
      <c r="BF191" s="139">
        <f t="shared" si="201"/>
        <v>4</v>
      </c>
      <c r="BG191" s="139">
        <f t="shared" si="201"/>
        <v>156912.15679999997</v>
      </c>
      <c r="BH191" s="139">
        <f t="shared" si="201"/>
        <v>0</v>
      </c>
      <c r="BI191" s="139">
        <f t="shared" si="201"/>
        <v>0</v>
      </c>
      <c r="BJ191" s="139">
        <f t="shared" si="201"/>
        <v>0</v>
      </c>
      <c r="BK191" s="139">
        <f t="shared" si="201"/>
        <v>0</v>
      </c>
      <c r="BL191" s="139">
        <f t="shared" si="201"/>
        <v>0</v>
      </c>
      <c r="BM191" s="139">
        <f t="shared" si="201"/>
        <v>0</v>
      </c>
      <c r="BN191" s="139">
        <f t="shared" si="201"/>
        <v>8</v>
      </c>
      <c r="BO191" s="139">
        <f t="shared" si="201"/>
        <v>261412.88319999995</v>
      </c>
      <c r="BP191" s="139">
        <f t="shared" si="201"/>
        <v>0</v>
      </c>
      <c r="BQ191" s="139">
        <f t="shared" si="201"/>
        <v>0</v>
      </c>
      <c r="BR191" s="139">
        <f t="shared" si="201"/>
        <v>4</v>
      </c>
      <c r="BS191" s="139">
        <f t="shared" si="201"/>
        <v>130706.44159999998</v>
      </c>
      <c r="BT191" s="139">
        <f t="shared" si="201"/>
        <v>0</v>
      </c>
      <c r="BU191" s="139">
        <f t="shared" si="201"/>
        <v>0</v>
      </c>
      <c r="BV191" s="139">
        <f t="shared" si="201"/>
        <v>8</v>
      </c>
      <c r="BW191" s="139">
        <f t="shared" si="201"/>
        <v>313824.31359999994</v>
      </c>
      <c r="BX191" s="139">
        <f t="shared" si="201"/>
        <v>3</v>
      </c>
      <c r="BY191" s="139">
        <f t="shared" si="201"/>
        <v>117684.11759999998</v>
      </c>
      <c r="BZ191" s="139">
        <f t="shared" si="201"/>
        <v>3</v>
      </c>
      <c r="CA191" s="139">
        <f t="shared" si="201"/>
        <v>117684.11759999998</v>
      </c>
      <c r="CB191" s="139">
        <f t="shared" si="201"/>
        <v>17</v>
      </c>
      <c r="CC191" s="139">
        <f t="shared" ref="CC191:CQ191" si="202">CC192</f>
        <v>39308.57</v>
      </c>
      <c r="CD191" s="139">
        <f t="shared" si="202"/>
        <v>2</v>
      </c>
      <c r="CE191" s="139">
        <f t="shared" si="202"/>
        <v>78456.078399999984</v>
      </c>
      <c r="CF191" s="139">
        <f t="shared" si="202"/>
        <v>0</v>
      </c>
      <c r="CG191" s="139">
        <f t="shared" si="202"/>
        <v>0</v>
      </c>
      <c r="CH191" s="139">
        <f t="shared" si="202"/>
        <v>6</v>
      </c>
      <c r="CI191" s="139">
        <f t="shared" si="202"/>
        <v>360057.35979999998</v>
      </c>
      <c r="CJ191" s="139">
        <f t="shared" si="202"/>
        <v>0</v>
      </c>
      <c r="CK191" s="139">
        <f t="shared" si="202"/>
        <v>0</v>
      </c>
      <c r="CL191" s="139">
        <f t="shared" si="202"/>
        <v>0</v>
      </c>
      <c r="CM191" s="139">
        <f t="shared" si="202"/>
        <v>0</v>
      </c>
      <c r="CN191" s="139">
        <f t="shared" si="202"/>
        <v>0</v>
      </c>
      <c r="CO191" s="139">
        <f t="shared" si="202"/>
        <v>0</v>
      </c>
      <c r="CP191" s="139">
        <f t="shared" si="202"/>
        <v>193</v>
      </c>
      <c r="CQ191" s="139">
        <f t="shared" si="202"/>
        <v>6218078.989666664</v>
      </c>
    </row>
    <row r="192" spans="1:95" s="3" customFormat="1" ht="30" hidden="1" customHeight="1" x14ac:dyDescent="0.25">
      <c r="A192" s="54"/>
      <c r="B192" s="54">
        <v>123</v>
      </c>
      <c r="C192" s="55" t="s">
        <v>497</v>
      </c>
      <c r="D192" s="120" t="s">
        <v>498</v>
      </c>
      <c r="E192" s="110">
        <v>16026</v>
      </c>
      <c r="F192" s="110">
        <v>16828</v>
      </c>
      <c r="G192" s="33">
        <v>1.46</v>
      </c>
      <c r="H192" s="34"/>
      <c r="I192" s="35">
        <v>1</v>
      </c>
      <c r="J192" s="47">
        <v>0.95</v>
      </c>
      <c r="K192" s="35"/>
      <c r="L192" s="97">
        <v>1.4</v>
      </c>
      <c r="M192" s="97">
        <v>1.68</v>
      </c>
      <c r="N192" s="97">
        <v>2.23</v>
      </c>
      <c r="O192" s="97">
        <v>2.57</v>
      </c>
      <c r="P192" s="36">
        <v>77</v>
      </c>
      <c r="Q192" s="36">
        <f>SUM(P192/12*2*$E192*$G192*$I192*$L192*$Q$9)+(P192/12*10*$F192*$G192*$J192*$L192*$Q$9)</f>
        <v>2517132.5153333331</v>
      </c>
      <c r="R192" s="37">
        <v>0</v>
      </c>
      <c r="S192" s="36">
        <f>SUM(R192/12*2*$E192*$G192*$I192*$L192*S$9)+(R192/12*10*$F192*$G192*$J192*$L192*S$9)</f>
        <v>0</v>
      </c>
      <c r="T192" s="36">
        <v>0</v>
      </c>
      <c r="U192" s="36">
        <f>SUM(T192/12*2*$E192*$G192*$I192*$L192*U$9)+(T192/12*10*$F192*$G192*$J192*$L192*U$9)</f>
        <v>0</v>
      </c>
      <c r="V192" s="37">
        <v>0</v>
      </c>
      <c r="W192" s="36">
        <f>SUM(V192/12*2*$E192*$G192*$I192*$L192*$W$9)+(V192/12*10*$F192*$G192*$J192*$L192*$W$9)</f>
        <v>0</v>
      </c>
      <c r="X192" s="37">
        <v>0</v>
      </c>
      <c r="Y192" s="38">
        <f>SUM(X192/12*2*$E192*$G192*$I192*$L192*Y$9)+(X192/12*10*$F192*$G192*$J192*$L192*Y$9)</f>
        <v>0</v>
      </c>
      <c r="Z192" s="37"/>
      <c r="AA192" s="36"/>
      <c r="AB192" s="36">
        <v>0</v>
      </c>
      <c r="AC192" s="36">
        <f>(AB192/12*2*$E192*$G192*$I192*$L192)+(AB192/12*10*$F192*$G192*$J192*$L192)</f>
        <v>0</v>
      </c>
      <c r="AD192" s="37">
        <v>0</v>
      </c>
      <c r="AE192" s="36">
        <f>(AD192/12*2*$E192*$G192*$I192*$L192*AE$9)+(AD192/12*10*$F192*$G192*$J192*$L192*AE$9)</f>
        <v>0</v>
      </c>
      <c r="AF192" s="37">
        <v>0</v>
      </c>
      <c r="AG192" s="36">
        <f>(AF192/12*2*$E192*$G192*$I192*$M192*AG$9)+(AF192/12*10*$F192*$G192*$J192*$M192*AG$9)</f>
        <v>0</v>
      </c>
      <c r="AH192" s="58">
        <v>17</v>
      </c>
      <c r="AI192" s="36">
        <f>(AH192/12*2*$E192*$G192*$I192*$M192*$AI$9)+(AH192/12*10*$F192*$G192*$J192*$M192*$AI$9)</f>
        <v>666876.6664000001</v>
      </c>
      <c r="AJ192" s="36">
        <v>3</v>
      </c>
      <c r="AK192" s="36">
        <v>117732.43</v>
      </c>
      <c r="AL192" s="37"/>
      <c r="AM192" s="36">
        <f>SUM(AL192/12*2*$E192*$G192*$I192*$L192*AM$9)+(AL192/12*10*$F192*$G192*$J192*$L192*AM$9)</f>
        <v>0</v>
      </c>
      <c r="AN192" s="37">
        <v>0</v>
      </c>
      <c r="AO192" s="36">
        <f>SUM(AN192/12*2*$E192*$G192*$I192*$L192*$AE$9)+(AN192/12*10*$F192*$G192*$J192*$L192*$AE$9)</f>
        <v>0</v>
      </c>
      <c r="AP192" s="37"/>
      <c r="AQ192" s="36"/>
      <c r="AR192" s="37"/>
      <c r="AS192" s="36">
        <f>SUM(AR192/12*2*$E192*$G192*$I192*$L192*AS$9)+(AR192/12*10*$F192*$G192*$J192*$L192*AS$9)</f>
        <v>0</v>
      </c>
      <c r="AT192" s="37"/>
      <c r="AU192" s="36">
        <f>SUM(AT192/12*2*$E192*$G192*$I192*$L192*$AI$9)+(AT192/12*10*$F192*$G192*$J192*$L192*$AI$9)</f>
        <v>0</v>
      </c>
      <c r="AV192" s="36">
        <v>39</v>
      </c>
      <c r="AW192" s="36">
        <f>SUM(AV192/12*2*$E192*$G192*$I192*$L192*AW$9)+(AV192/12*10*$F192*$G192*$J192*$L192*AW$9)</f>
        <v>1274911.2739999997</v>
      </c>
      <c r="AX192" s="37"/>
      <c r="AY192" s="36">
        <f>SUM(AX192/12*2*$E192*$G192*$I192*$L192*AY$9)+(AX192/12*10*$F192*$G192*$J192*$L192*AY$9)</f>
        <v>0</v>
      </c>
      <c r="AZ192" s="37">
        <v>0</v>
      </c>
      <c r="BA192" s="36">
        <f>SUM(AZ192/12*2*$E192*$G192*$I192*$L192*BA$9)+(AZ192/12*10*$F192*$G192*$J192*$L192*BA$9)</f>
        <v>0</v>
      </c>
      <c r="BB192" s="36"/>
      <c r="BC192" s="36">
        <f>SUM(BB192/12*2*$E192*$G192*$I192*$L192*BC$9)+(BB192/12*10*$F192*$G192*$J192*$L192*BC$9)</f>
        <v>0</v>
      </c>
      <c r="BD192" s="36">
        <v>2</v>
      </c>
      <c r="BE192" s="36">
        <f>SUM(BD192/12*2*$E192*$G192*$I192*$L192*BE$9)+(BD192/12*10*$F192*$G192*$J192*$L192*BE$9)</f>
        <v>65380.065333333318</v>
      </c>
      <c r="BF192" s="36">
        <v>4</v>
      </c>
      <c r="BG192" s="39">
        <f>(BF192/12*2*$E192*$G192*$I192*$M192*BG$9)+(BF192/12*10*$F192*$G192*$J192*$M192*BG$9)</f>
        <v>156912.15679999997</v>
      </c>
      <c r="BH192" s="60"/>
      <c r="BI192" s="36">
        <f>(BH192/12*2*$E192*$G192*$I192*$M192*BI$9)+(BH192/12*10*$F192*$G192*$J192*$M192*BI$9)</f>
        <v>0</v>
      </c>
      <c r="BJ192" s="37">
        <v>0</v>
      </c>
      <c r="BK192" s="36">
        <f>(BJ192/12*2*$E192*$G192*$I192*$M192*BK$9)+(BJ192/12*10*$F192*$G192*$J192*$M192*BK$9)</f>
        <v>0</v>
      </c>
      <c r="BL192" s="37"/>
      <c r="BM192" s="36">
        <f>(BL192/12*2*$E192*$G192*$I192*$M192*BM$9)+(BL192/12*10*$F192*$G192*$J192*$M192*BM$9)</f>
        <v>0</v>
      </c>
      <c r="BN192" s="36">
        <v>8</v>
      </c>
      <c r="BO192" s="36">
        <f>(BN192/12*10*$F192*$G192*$J192*$M192*BO$9)</f>
        <v>261412.88319999995</v>
      </c>
      <c r="BP192" s="59"/>
      <c r="BQ192" s="36"/>
      <c r="BR192" s="36">
        <v>4</v>
      </c>
      <c r="BS192" s="36">
        <f>(BR192/12*10*$F192*$G192*$J192*$M192*BS$9)</f>
        <v>130706.44159999998</v>
      </c>
      <c r="BT192" s="37"/>
      <c r="BU192" s="36"/>
      <c r="BV192" s="36">
        <v>8</v>
      </c>
      <c r="BW192" s="36">
        <f>(BV192/12*2*$E192*$G192*$I192*$M192*BW$9)+(BV192/12*10*$F192*$G192*$J192*$M192*BW$9)</f>
        <v>313824.31359999994</v>
      </c>
      <c r="BX192" s="36">
        <v>3</v>
      </c>
      <c r="BY192" s="36">
        <f>(BX192/12*2*$E192*$G192*$I192*$M192*BY$9)+(BX192/12*10*$F192*$G192*$J192*$M192*BY$9)</f>
        <v>117684.11759999998</v>
      </c>
      <c r="BZ192" s="36">
        <v>3</v>
      </c>
      <c r="CA192" s="36">
        <f>(BZ192/12*2*$E192*$G192*$I192*$M192*CA$9)+(BZ192/12*10*$F192*$G192*$J192*$M192*CA$9)</f>
        <v>117684.11759999998</v>
      </c>
      <c r="CB192" s="36">
        <v>17</v>
      </c>
      <c r="CC192" s="36">
        <v>39308.57</v>
      </c>
      <c r="CD192" s="36">
        <v>2</v>
      </c>
      <c r="CE192" s="36">
        <f>(CD192/12*2*$E192*$G192*$I192*$M192*CE$9)+(CD192/12*10*$F192*$G192*$J192*$M192*CE$9)</f>
        <v>78456.078399999984</v>
      </c>
      <c r="CF192" s="58"/>
      <c r="CG192" s="36">
        <f>(CF192/12*2*$E192*$G192*$I192*$N192*CG$9)+(CF192/12*10*$F192*$G192*$J192*$N192*CG$9)</f>
        <v>0</v>
      </c>
      <c r="CH192" s="58">
        <v>6</v>
      </c>
      <c r="CI192" s="36">
        <f>(CH192/12*2*$E192*$G192*$I192*$O192*$CI$9)+(CH192/12*10*$F192*$G192*$J192*$O192*$CI$9)</f>
        <v>360057.35979999998</v>
      </c>
      <c r="CJ192" s="36"/>
      <c r="CK192" s="36"/>
      <c r="CL192" s="36"/>
      <c r="CM192" s="36"/>
      <c r="CN192" s="41"/>
      <c r="CO192" s="41"/>
      <c r="CP192" s="42">
        <f>SUM(R192+P192+T192+V192+AB192+Z192+X192+AF192+AD192+AH192+AJ192+BF192+BJ192+AL192+AT192+AV192+BT192+BV192+BR192+BX192+BZ192+BN192+AN192+AP192+AR192+BH192+BL192+AX192+AZ192+BB192+BD192+BP192+CB192+CD192+CF192+CH192+CJ192+CL192)</f>
        <v>193</v>
      </c>
      <c r="CQ192" s="42">
        <f>SUM(S192+Q192+U192+W192+AC192+AA192+Y192+AG192+AE192+AI192+AK192+BG192+BK192+AM192+AU192+AW192+BU192+BW192+BS192+BY192+CA192+BO192+AO192+AQ192+AS192+BI192+BM192+AY192+BA192+BC192+BE192+BQ192+CC192+CE192+CG192+CI192+CK192+CM192)</f>
        <v>6218078.989666664</v>
      </c>
    </row>
    <row r="193" spans="1:95" ht="18.75" hidden="1" customHeight="1" x14ac:dyDescent="0.25">
      <c r="A193" s="124">
        <v>25</v>
      </c>
      <c r="B193" s="124"/>
      <c r="C193" s="149" t="s">
        <v>499</v>
      </c>
      <c r="D193" s="141" t="s">
        <v>500</v>
      </c>
      <c r="E193" s="110">
        <v>16026</v>
      </c>
      <c r="F193" s="134">
        <v>16828</v>
      </c>
      <c r="G193" s="138">
        <v>1.88</v>
      </c>
      <c r="H193" s="136"/>
      <c r="I193" s="128"/>
      <c r="J193" s="129"/>
      <c r="K193" s="29"/>
      <c r="L193" s="97">
        <v>1.4</v>
      </c>
      <c r="M193" s="97">
        <v>1.68</v>
      </c>
      <c r="N193" s="97">
        <v>2.23</v>
      </c>
      <c r="O193" s="97">
        <v>2.57</v>
      </c>
      <c r="P193" s="139">
        <f>SUM(P194:P196)</f>
        <v>175</v>
      </c>
      <c r="Q193" s="139">
        <f t="shared" ref="Q193:BH193" si="203">SUM(Q194:Q196)</f>
        <v>7525805.4666666668</v>
      </c>
      <c r="R193" s="139">
        <f t="shared" si="203"/>
        <v>0</v>
      </c>
      <c r="S193" s="139">
        <f t="shared" si="203"/>
        <v>0</v>
      </c>
      <c r="T193" s="139">
        <f t="shared" si="203"/>
        <v>0</v>
      </c>
      <c r="U193" s="139">
        <f t="shared" si="203"/>
        <v>0</v>
      </c>
      <c r="V193" s="139">
        <f t="shared" si="203"/>
        <v>0</v>
      </c>
      <c r="W193" s="139">
        <f t="shared" si="203"/>
        <v>0</v>
      </c>
      <c r="X193" s="139">
        <f t="shared" si="203"/>
        <v>0</v>
      </c>
      <c r="Y193" s="139">
        <f t="shared" si="203"/>
        <v>0</v>
      </c>
      <c r="Z193" s="139">
        <f t="shared" si="203"/>
        <v>0</v>
      </c>
      <c r="AA193" s="139">
        <f t="shared" si="203"/>
        <v>0</v>
      </c>
      <c r="AB193" s="139">
        <f t="shared" si="203"/>
        <v>0</v>
      </c>
      <c r="AC193" s="139">
        <f t="shared" si="203"/>
        <v>0</v>
      </c>
      <c r="AD193" s="139">
        <f t="shared" si="203"/>
        <v>0</v>
      </c>
      <c r="AE193" s="139">
        <f t="shared" si="203"/>
        <v>0</v>
      </c>
      <c r="AF193" s="139">
        <f t="shared" si="203"/>
        <v>0</v>
      </c>
      <c r="AG193" s="139">
        <f t="shared" si="203"/>
        <v>0</v>
      </c>
      <c r="AH193" s="139">
        <f>SUM(AH194:AH196)</f>
        <v>0</v>
      </c>
      <c r="AI193" s="139">
        <f t="shared" si="203"/>
        <v>0</v>
      </c>
      <c r="AJ193" s="139">
        <v>0</v>
      </c>
      <c r="AK193" s="139">
        <v>0</v>
      </c>
      <c r="AL193" s="139">
        <f t="shared" si="203"/>
        <v>0</v>
      </c>
      <c r="AM193" s="139">
        <f t="shared" si="203"/>
        <v>0</v>
      </c>
      <c r="AN193" s="139">
        <f t="shared" si="203"/>
        <v>0</v>
      </c>
      <c r="AO193" s="139">
        <f t="shared" si="203"/>
        <v>0</v>
      </c>
      <c r="AP193" s="139">
        <f t="shared" si="203"/>
        <v>0</v>
      </c>
      <c r="AQ193" s="139">
        <f t="shared" si="203"/>
        <v>0</v>
      </c>
      <c r="AR193" s="139">
        <f t="shared" si="203"/>
        <v>0</v>
      </c>
      <c r="AS193" s="139">
        <f t="shared" si="203"/>
        <v>0</v>
      </c>
      <c r="AT193" s="139">
        <f t="shared" si="203"/>
        <v>0</v>
      </c>
      <c r="AU193" s="139">
        <f t="shared" si="203"/>
        <v>0</v>
      </c>
      <c r="AV193" s="139">
        <f t="shared" si="203"/>
        <v>0</v>
      </c>
      <c r="AW193" s="139">
        <f t="shared" si="203"/>
        <v>0</v>
      </c>
      <c r="AX193" s="139">
        <f t="shared" si="203"/>
        <v>0</v>
      </c>
      <c r="AY193" s="139">
        <f t="shared" si="203"/>
        <v>0</v>
      </c>
      <c r="AZ193" s="139">
        <f t="shared" si="203"/>
        <v>0</v>
      </c>
      <c r="BA193" s="139">
        <f>SUM(BA194:BA196)</f>
        <v>0</v>
      </c>
      <c r="BB193" s="139">
        <f t="shared" si="203"/>
        <v>0</v>
      </c>
      <c r="BC193" s="139">
        <f>SUM(BC194:BC196)</f>
        <v>0</v>
      </c>
      <c r="BD193" s="139">
        <f t="shared" si="203"/>
        <v>0</v>
      </c>
      <c r="BE193" s="139">
        <f t="shared" si="203"/>
        <v>0</v>
      </c>
      <c r="BF193" s="139">
        <f t="shared" si="203"/>
        <v>0</v>
      </c>
      <c r="BG193" s="139">
        <f t="shared" si="203"/>
        <v>0</v>
      </c>
      <c r="BH193" s="139">
        <f t="shared" si="203"/>
        <v>0</v>
      </c>
      <c r="BI193" s="139">
        <f>SUM(BI194:BI196)</f>
        <v>0</v>
      </c>
      <c r="BJ193" s="139">
        <f t="shared" ref="BJ193:BT193" si="204">SUM(BJ194:BJ196)</f>
        <v>0</v>
      </c>
      <c r="BK193" s="139">
        <f t="shared" si="204"/>
        <v>0</v>
      </c>
      <c r="BL193" s="139">
        <f t="shared" si="204"/>
        <v>0</v>
      </c>
      <c r="BM193" s="139">
        <f t="shared" si="204"/>
        <v>0</v>
      </c>
      <c r="BN193" s="139">
        <f t="shared" si="204"/>
        <v>0</v>
      </c>
      <c r="BO193" s="139">
        <f>SUM(BO194:BO196)</f>
        <v>0</v>
      </c>
      <c r="BP193" s="139">
        <f t="shared" si="204"/>
        <v>0</v>
      </c>
      <c r="BQ193" s="139">
        <f>SUM(BQ194:BQ196)</f>
        <v>0</v>
      </c>
      <c r="BR193" s="139">
        <f t="shared" si="204"/>
        <v>0</v>
      </c>
      <c r="BS193" s="139">
        <f>SUM(BS194:BS196)</f>
        <v>0</v>
      </c>
      <c r="BT193" s="139">
        <f t="shared" si="204"/>
        <v>0</v>
      </c>
      <c r="BU193" s="139">
        <f>SUM(BU194:BU196)</f>
        <v>0</v>
      </c>
      <c r="BV193" s="139">
        <f t="shared" ref="BV193:CQ193" si="205">SUM(BV194:BV196)</f>
        <v>0</v>
      </c>
      <c r="BW193" s="139">
        <f t="shared" si="205"/>
        <v>0</v>
      </c>
      <c r="BX193" s="139">
        <f t="shared" si="205"/>
        <v>0</v>
      </c>
      <c r="BY193" s="139">
        <f t="shared" si="205"/>
        <v>0</v>
      </c>
      <c r="BZ193" s="139">
        <f t="shared" si="205"/>
        <v>0</v>
      </c>
      <c r="CA193" s="139">
        <f t="shared" si="205"/>
        <v>0</v>
      </c>
      <c r="CB193" s="139">
        <f t="shared" si="205"/>
        <v>0</v>
      </c>
      <c r="CC193" s="139">
        <f t="shared" si="205"/>
        <v>0</v>
      </c>
      <c r="CD193" s="139">
        <f t="shared" si="205"/>
        <v>0</v>
      </c>
      <c r="CE193" s="139">
        <f t="shared" si="205"/>
        <v>0</v>
      </c>
      <c r="CF193" s="139">
        <f t="shared" si="205"/>
        <v>0</v>
      </c>
      <c r="CG193" s="139">
        <f t="shared" si="205"/>
        <v>0</v>
      </c>
      <c r="CH193" s="139">
        <f t="shared" si="205"/>
        <v>0</v>
      </c>
      <c r="CI193" s="139">
        <f t="shared" si="205"/>
        <v>0</v>
      </c>
      <c r="CJ193" s="139">
        <f t="shared" si="205"/>
        <v>0</v>
      </c>
      <c r="CK193" s="139">
        <f t="shared" si="205"/>
        <v>0</v>
      </c>
      <c r="CL193" s="139">
        <f t="shared" si="205"/>
        <v>0</v>
      </c>
      <c r="CM193" s="139">
        <f t="shared" si="205"/>
        <v>0</v>
      </c>
      <c r="CN193" s="139">
        <f t="shared" si="205"/>
        <v>0</v>
      </c>
      <c r="CO193" s="139">
        <f t="shared" si="205"/>
        <v>0</v>
      </c>
      <c r="CP193" s="139">
        <f t="shared" si="205"/>
        <v>175</v>
      </c>
      <c r="CQ193" s="139">
        <f t="shared" si="205"/>
        <v>7525805.4666666668</v>
      </c>
    </row>
    <row r="194" spans="1:95" s="3" customFormat="1" ht="30" hidden="1" customHeight="1" x14ac:dyDescent="0.25">
      <c r="A194" s="54"/>
      <c r="B194" s="54">
        <v>124</v>
      </c>
      <c r="C194" s="55" t="s">
        <v>501</v>
      </c>
      <c r="D194" s="121" t="s">
        <v>502</v>
      </c>
      <c r="E194" s="110">
        <v>16026</v>
      </c>
      <c r="F194" s="110">
        <v>16828</v>
      </c>
      <c r="G194" s="33">
        <v>1.84</v>
      </c>
      <c r="H194" s="34"/>
      <c r="I194" s="35">
        <v>1</v>
      </c>
      <c r="J194" s="111"/>
      <c r="K194" s="35"/>
      <c r="L194" s="97">
        <v>1.4</v>
      </c>
      <c r="M194" s="97">
        <v>1.68</v>
      </c>
      <c r="N194" s="97">
        <v>2.23</v>
      </c>
      <c r="O194" s="97">
        <v>2.57</v>
      </c>
      <c r="P194" s="79">
        <v>175</v>
      </c>
      <c r="Q194" s="36">
        <f>SUM(P194/12*2*$E194*$G194*$I194*$L194*$Q$9)+(P194/12*10*$F194*$G194*$I194*$L194*$Q$9)</f>
        <v>7525805.4666666668</v>
      </c>
      <c r="R194" s="78"/>
      <c r="S194" s="36">
        <f>SUM(R194/12*2*$E194*$G194*$I194*$L194*S$9)+(R194/12*10*$F194*$G194*$I194*$L194*S$9)</f>
        <v>0</v>
      </c>
      <c r="T194" s="79"/>
      <c r="U194" s="36">
        <f>SUM(T194/12*2*$E194*$G194*$I194*$L194*U$9)+(T194/12*10*$F194*$G194*$I194*$L194*U$9)</f>
        <v>0</v>
      </c>
      <c r="V194" s="78"/>
      <c r="W194" s="36">
        <f>SUM(V194/12*2*$E194*$G194*$I194*$L194*$W$9)+(V194/12*10*$F194*$G194*$I194*$L194*$W$9)</f>
        <v>0</v>
      </c>
      <c r="X194" s="78"/>
      <c r="Y194" s="38">
        <f>SUM(X194/12*2*$E194*$G194*$I194*$L194*Y$9)+(X194/12*10*$F194*$G194*$I194*$L194*Y$9)</f>
        <v>0</v>
      </c>
      <c r="Z194" s="37"/>
      <c r="AA194" s="36"/>
      <c r="AB194" s="78"/>
      <c r="AC194" s="36">
        <f>(AB194/12*2*$E194*$G194*$I194*$L194)+(AB194/12*10*$F194*$G194*$I194*$L194)</f>
        <v>0</v>
      </c>
      <c r="AD194" s="78"/>
      <c r="AE194" s="36">
        <f>(AD194/12*2*$E194*$G194*$I194*$L194*AE$9)+(AD194/12*10*$F194*$G194*$I194*$L194*AE$9)</f>
        <v>0</v>
      </c>
      <c r="AF194" s="78"/>
      <c r="AG194" s="36">
        <f>(AF194/12*2*$E194*$G194*$I194*$M194*AG$9)+(AF194/12*10*$F194*$G194*$I194*$M194*AG$9)</f>
        <v>0</v>
      </c>
      <c r="AH194" s="78"/>
      <c r="AI194" s="36">
        <f>(AH194/12*2*$E194*$G194*$I194*$M194*$AI$9)+(AH194/12*10*$F194*$G194*$I194*$M194*$AI$9)</f>
        <v>0</v>
      </c>
      <c r="AJ194" s="36">
        <v>0</v>
      </c>
      <c r="AK194" s="36">
        <v>0</v>
      </c>
      <c r="AL194" s="78"/>
      <c r="AM194" s="36">
        <f>SUM(AL194/12*2*$E194*$G194*$I194*$L194*AM$9)+(AL194/12*10*$F194*$G194*$I194*$L194*AM$9)</f>
        <v>0</v>
      </c>
      <c r="AN194" s="78"/>
      <c r="AO194" s="36">
        <f>SUM(AN194/12*2*$E194*$G194*$I194*$L194*$AE$9)+(AN194/12*10*$F194*$G194*$I194*$L194*$AE$9)</f>
        <v>0</v>
      </c>
      <c r="AP194" s="78"/>
      <c r="AQ194" s="36"/>
      <c r="AR194" s="37"/>
      <c r="AS194" s="36">
        <f>SUM(AR194/12*2*$E194*$G194*$I194*$L194*AS$9)+(AR194/12*10*$F194*$G194*$I194*$L194*AS$9)</f>
        <v>0</v>
      </c>
      <c r="AT194" s="78"/>
      <c r="AU194" s="36">
        <f>SUM(AT194/12*2*$E194*$G194*$I194*$L194*$AI$9)+(AT194/12*10*$F194*$G194*$I194*$L194*$AI$9)</f>
        <v>0</v>
      </c>
      <c r="AV194" s="78"/>
      <c r="AW194" s="36">
        <f>SUM(AV194/12*2*$E194*$G194*$I194*$L194*AW$9)+(AV194/12*10*$F194*$G194*$I194*$L194*AW$9)</f>
        <v>0</v>
      </c>
      <c r="AX194" s="78"/>
      <c r="AY194" s="36">
        <f>SUM(AX194/12*2*$E194*$G194*$I194*$L194*AY$9)+(AX194/12*10*$F194*$G194*$I194*$L194*AY$9)</f>
        <v>0</v>
      </c>
      <c r="AZ194" s="78"/>
      <c r="BA194" s="36">
        <f>SUM(AZ194/12*2*$E194*$G194*$I194*$L194*BA$9)+(AZ194/12*10*$F194*$G194*$I194*$L194*BA$9)</f>
        <v>0</v>
      </c>
      <c r="BB194" s="78"/>
      <c r="BC194" s="36">
        <f>SUM(BB194/12*2*$E194*$G194*$I194*$L194*BC$9)+(BB194/12*10*$F194*$G194*$I194*$L194*BC$9)</f>
        <v>0</v>
      </c>
      <c r="BD194" s="78"/>
      <c r="BE194" s="36">
        <f>SUM(BD194/12*2*$E194*$G194*$I194*$L194*BE$9)+(BD194/12*10*$F194*$G194*$I194*$L194*BE$9)</f>
        <v>0</v>
      </c>
      <c r="BF194" s="78"/>
      <c r="BG194" s="39">
        <f>(BF194/12*2*$E194*$G194*$I194*$M194*BG$9)+(BF194/12*10*$F194*$G194*$I194*$M194*BG$9)</f>
        <v>0</v>
      </c>
      <c r="BH194" s="60"/>
      <c r="BI194" s="36">
        <f>(BH194/12*2*$E194*$G194*$I194*$M194*BI$9)+(BH194/12*10*$F194*$G194*$I194*$M194*BI$9)</f>
        <v>0</v>
      </c>
      <c r="BJ194" s="78"/>
      <c r="BK194" s="36">
        <f>(BJ194/12*2*$E194*$G194*$I194*$M194*BK$9)+(BJ194/12*10*$F194*$G194*$I194*$M194*BK$9)</f>
        <v>0</v>
      </c>
      <c r="BL194" s="78"/>
      <c r="BM194" s="36">
        <f>(BL194/12*2*$E194*$G194*$I194*$M194*BM$9)+(BL194/12*10*$F194*$G194*$I194*$M194*BM$9)</f>
        <v>0</v>
      </c>
      <c r="BN194" s="78"/>
      <c r="BO194" s="36">
        <f>(BN194/12*10*$F194*$G194*$I194*$M194*BO$9)</f>
        <v>0</v>
      </c>
      <c r="BP194" s="80"/>
      <c r="BQ194" s="36"/>
      <c r="BR194" s="78"/>
      <c r="BS194" s="36">
        <f>(BR194/12*10*$F194*$G194*$I194*$M194*BS$9)</f>
        <v>0</v>
      </c>
      <c r="BT194" s="78"/>
      <c r="BU194" s="36">
        <f>(BT194/12*2*$E194*$G194*$I194*$M194*BU$9)+(BT194/12*10*$F194*$G194*$I194*$M194*BU$9)</f>
        <v>0</v>
      </c>
      <c r="BV194" s="79"/>
      <c r="BW194" s="36">
        <f>(BV194/12*2*$E194*$G194*$I194*$M194*BW$9)+(BV194/12*10*$F194*$G194*$I194*$M194*BW$9)</f>
        <v>0</v>
      </c>
      <c r="BX194" s="78"/>
      <c r="BY194" s="36">
        <f>(BX194/12*2*$E194*$G194*$I194*$M194*BY$9)+(BX194/12*10*$F194*$G194*$I194*$M194*BY$9)</f>
        <v>0</v>
      </c>
      <c r="BZ194" s="78"/>
      <c r="CA194" s="36">
        <f>(BZ194/12*2*$E194*$G194*$I194*$M194*CA$9)+(BZ194/12*10*$F194*$G194*$I194*$M194*CA$9)</f>
        <v>0</v>
      </c>
      <c r="CB194" s="78"/>
      <c r="CC194" s="36">
        <f>(CB194/12*2*$E194*$G194*$I194*$M194*CC$9)+(CB194/12*10*$F194*$G194*$I194*$M194*CC$9)</f>
        <v>0</v>
      </c>
      <c r="CD194" s="78"/>
      <c r="CE194" s="36">
        <f>(CD194/12*2*$E194*$G194*$I194*$M194*CE$9)+(CD194/12*10*$F194*$G194*$I194*$M194*CE$9)</f>
        <v>0</v>
      </c>
      <c r="CF194" s="78"/>
      <c r="CG194" s="36">
        <f>(CF194/12*2*$E194*$G194*$I194*$N194*CG$9)+(CF194/12*10*$F194*$G194*$I194*$N194*CG$9)</f>
        <v>0</v>
      </c>
      <c r="CH194" s="78"/>
      <c r="CI194" s="36">
        <f>(CH194/12*2*$E194*$G194*$I194*$O194*$CI$9)+(CH194/12*10*$F194*$G194*$I194*$O194*$CI$9)</f>
        <v>0</v>
      </c>
      <c r="CJ194" s="36"/>
      <c r="CK194" s="36"/>
      <c r="CL194" s="36"/>
      <c r="CM194" s="36"/>
      <c r="CN194" s="41"/>
      <c r="CO194" s="41"/>
      <c r="CP194" s="42">
        <f t="shared" ref="CP194:CQ196" si="206">SUM(R194+P194+T194+V194+AB194+Z194+X194+AF194+AD194+AH194+AJ194+BF194+BJ194+AL194+AT194+AV194+BT194+BV194+BR194+BX194+BZ194+BN194+AN194+AP194+AR194+BH194+BL194+AX194+AZ194+BB194+BD194+BP194+CB194+CD194+CF194+CH194+CJ194+CL194)</f>
        <v>175</v>
      </c>
      <c r="CQ194" s="42">
        <f t="shared" si="206"/>
        <v>7525805.4666666668</v>
      </c>
    </row>
    <row r="195" spans="1:95" s="3" customFormat="1" ht="18.75" hidden="1" customHeight="1" x14ac:dyDescent="0.25">
      <c r="A195" s="54"/>
      <c r="B195" s="54">
        <v>125</v>
      </c>
      <c r="C195" s="55" t="s">
        <v>503</v>
      </c>
      <c r="D195" s="120" t="s">
        <v>504</v>
      </c>
      <c r="E195" s="110">
        <v>16026</v>
      </c>
      <c r="F195" s="110">
        <v>16828</v>
      </c>
      <c r="G195" s="33">
        <v>2.1800000000000002</v>
      </c>
      <c r="H195" s="34"/>
      <c r="I195" s="35">
        <v>1</v>
      </c>
      <c r="J195" s="111"/>
      <c r="K195" s="35"/>
      <c r="L195" s="97">
        <v>1.4</v>
      </c>
      <c r="M195" s="97">
        <v>1.68</v>
      </c>
      <c r="N195" s="97">
        <v>2.23</v>
      </c>
      <c r="O195" s="97">
        <v>2.57</v>
      </c>
      <c r="P195" s="79">
        <v>0</v>
      </c>
      <c r="Q195" s="36">
        <f>SUM(P195/12*2*$E195*$G195*$I195*$L195*$Q$9)+(P195/12*10*$F195*$G195*$I195*$L195*$Q$9)</f>
        <v>0</v>
      </c>
      <c r="R195" s="78">
        <v>0</v>
      </c>
      <c r="S195" s="36">
        <f>SUM(R195/12*2*$E195*$G195*$I195*$L195*S$9)+(R195/12*10*$F195*$G195*$I195*$L195*S$9)</f>
        <v>0</v>
      </c>
      <c r="T195" s="79">
        <v>0</v>
      </c>
      <c r="U195" s="36">
        <f>SUM(T195/12*2*$E195*$G195*$I195*$L195*U$9)+(T195/12*10*$F195*$G195*$I195*$L195*U$9)</f>
        <v>0</v>
      </c>
      <c r="V195" s="78">
        <v>0</v>
      </c>
      <c r="W195" s="36">
        <f>SUM(V195/12*2*$E195*$G195*$I195*$L195*$W$9)+(V195/12*10*$F195*$G195*$I195*$L195*$W$9)</f>
        <v>0</v>
      </c>
      <c r="X195" s="78">
        <v>0</v>
      </c>
      <c r="Y195" s="38">
        <f>SUM(X195/12*2*$E195*$G195*$I195*$L195*Y$9)+(X195/12*10*$F195*$G195*$I195*$L195*Y$9)</f>
        <v>0</v>
      </c>
      <c r="Z195" s="37"/>
      <c r="AA195" s="36"/>
      <c r="AB195" s="78"/>
      <c r="AC195" s="36">
        <f>(AB195/12*2*$E195*$G195*$I195*$L195)+(AB195/12*10*$F195*$G195*$I195*$L195)</f>
        <v>0</v>
      </c>
      <c r="AD195" s="78"/>
      <c r="AE195" s="36">
        <f>(AD195/12*2*$E195*$G195*$I195*$L195*AE$9)+(AD195/12*10*$F195*$G195*$I195*$L195*AE$9)</f>
        <v>0</v>
      </c>
      <c r="AF195" s="78"/>
      <c r="AG195" s="36">
        <f>(AF195/12*2*$E195*$G195*$I195*$M195*AG$9)+(AF195/12*10*$F195*$G195*$I195*$M195*AG$9)</f>
        <v>0</v>
      </c>
      <c r="AH195" s="78">
        <v>0</v>
      </c>
      <c r="AI195" s="36">
        <f>(AH195/12*2*$E195*$G195*$I195*$M195*$AI$9)+(AH195/12*10*$F195*$G195*$I195*$M195*$AI$9)</f>
        <v>0</v>
      </c>
      <c r="AJ195" s="36">
        <v>0</v>
      </c>
      <c r="AK195" s="36">
        <v>0</v>
      </c>
      <c r="AL195" s="78"/>
      <c r="AM195" s="36">
        <f>SUM(AL195/12*2*$E195*$G195*$I195*$L195*AM$9)+(AL195/12*10*$F195*$G195*$I195*$L195*AM$9)</f>
        <v>0</v>
      </c>
      <c r="AN195" s="78">
        <v>0</v>
      </c>
      <c r="AO195" s="36">
        <f>SUM(AN195/12*2*$E195*$G195*$I195*$L195*$AE$9)+(AN195/12*10*$F195*$G195*$I195*$L195*$AE$9)</f>
        <v>0</v>
      </c>
      <c r="AP195" s="78"/>
      <c r="AQ195" s="36"/>
      <c r="AR195" s="37"/>
      <c r="AS195" s="36">
        <f>SUM(AR195/12*2*$E195*$G195*$I195*$L195*AS$9)+(AR195/12*10*$F195*$G195*$I195*$L195*AS$9)</f>
        <v>0</v>
      </c>
      <c r="AT195" s="78">
        <v>0</v>
      </c>
      <c r="AU195" s="36">
        <f>SUM(AT195/12*2*$E195*$G195*$I195*$L195*$AI$9)+(AT195/12*10*$F195*$G195*$I195*$L195*$AI$9)</f>
        <v>0</v>
      </c>
      <c r="AV195" s="78"/>
      <c r="AW195" s="36">
        <f>SUM(AV195/12*2*$E195*$G195*$I195*$L195*AW$9)+(AV195/12*10*$F195*$G195*$I195*$L195*AW$9)</f>
        <v>0</v>
      </c>
      <c r="AX195" s="78">
        <v>0</v>
      </c>
      <c r="AY195" s="36">
        <f>SUM(AX195/12*2*$E195*$G195*$I195*$L195*AY$9)+(AX195/12*10*$F195*$G195*$I195*$L195*AY$9)</f>
        <v>0</v>
      </c>
      <c r="AZ195" s="78">
        <v>0</v>
      </c>
      <c r="BA195" s="36">
        <f>SUM(AZ195/12*2*$E195*$G195*$I195*$L195*BA$9)+(AZ195/12*10*$F195*$G195*$I195*$L195*BA$9)</f>
        <v>0</v>
      </c>
      <c r="BB195" s="78">
        <v>0</v>
      </c>
      <c r="BC195" s="36">
        <f>SUM(BB195/12*2*$E195*$G195*$I195*$L195*BC$9)+(BB195/12*10*$F195*$G195*$I195*$L195*BC$9)</f>
        <v>0</v>
      </c>
      <c r="BD195" s="78"/>
      <c r="BE195" s="36">
        <f>SUM(BD195/12*2*$E195*$G195*$I195*$L195*BE$9)+(BD195/12*10*$F195*$G195*$I195*$L195*BE$9)</f>
        <v>0</v>
      </c>
      <c r="BF195" s="78">
        <v>0</v>
      </c>
      <c r="BG195" s="39">
        <f>(BF195/12*2*$E195*$G195*$I195*$M195*BG$9)+(BF195/12*10*$F195*$G195*$I195*$M195*BG$9)</f>
        <v>0</v>
      </c>
      <c r="BH195" s="60">
        <v>0</v>
      </c>
      <c r="BI195" s="36">
        <f>(BH195/12*2*$E195*$G195*$I195*$M195*BI$9)+(BH195/12*10*$F195*$G195*$I195*$M195*BI$9)</f>
        <v>0</v>
      </c>
      <c r="BJ195" s="78">
        <v>0</v>
      </c>
      <c r="BK195" s="36">
        <f>(BJ195/12*2*$E195*$G195*$I195*$M195*BK$9)+(BJ195/12*10*$F195*$G195*$I195*$M195*BK$9)</f>
        <v>0</v>
      </c>
      <c r="BL195" s="78">
        <v>0</v>
      </c>
      <c r="BM195" s="36">
        <f>(BL195/12*2*$E195*$G195*$I195*$M195*BM$9)+(BL195/12*10*$F195*$G195*$I195*$M195*BM$9)</f>
        <v>0</v>
      </c>
      <c r="BN195" s="78"/>
      <c r="BO195" s="36">
        <f>(BN195/12*10*$F195*$G195*$I195*$M195*BO$9)</f>
        <v>0</v>
      </c>
      <c r="BP195" s="80"/>
      <c r="BQ195" s="36"/>
      <c r="BR195" s="78">
        <v>0</v>
      </c>
      <c r="BS195" s="36">
        <f>(BR195/12*10*$F195*$G195*$I195*$M195*BS$9)</f>
        <v>0</v>
      </c>
      <c r="BT195" s="78">
        <v>0</v>
      </c>
      <c r="BU195" s="36">
        <f>(BT195/12*2*$E195*$G195*$I195*$M195*BU$9)+(BT195/12*10*$F195*$G195*$I195*$M195*BU$9)</f>
        <v>0</v>
      </c>
      <c r="BV195" s="79">
        <v>0</v>
      </c>
      <c r="BW195" s="36">
        <f>(BV195/12*2*$E195*$G195*$I195*$M195*BW$9)+(BV195/12*10*$F195*$G195*$I195*$M195*BW$9)</f>
        <v>0</v>
      </c>
      <c r="BX195" s="78">
        <v>0</v>
      </c>
      <c r="BY195" s="36">
        <f>(BX195/12*2*$E195*$G195*$I195*$M195*BY$9)+(BX195/12*10*$F195*$G195*$I195*$M195*BY$9)</f>
        <v>0</v>
      </c>
      <c r="BZ195" s="78"/>
      <c r="CA195" s="36">
        <f>(BZ195/12*2*$E195*$G195*$I195*$M195*CA$9)+(BZ195/12*10*$F195*$G195*$I195*$M195*CA$9)</f>
        <v>0</v>
      </c>
      <c r="CB195" s="78"/>
      <c r="CC195" s="36">
        <f>(CB195/12*2*$E195*$G195*$I195*$M195*CC$9)+(CB195/12*10*$F195*$G195*$I195*$M195*CC$9)</f>
        <v>0</v>
      </c>
      <c r="CD195" s="78">
        <v>0</v>
      </c>
      <c r="CE195" s="36">
        <f>(CD195/12*2*$E195*$G195*$I195*$M195*CE$9)+(CD195/12*10*$F195*$G195*$I195*$M195*CE$9)</f>
        <v>0</v>
      </c>
      <c r="CF195" s="78">
        <v>0</v>
      </c>
      <c r="CG195" s="36">
        <f>(CF195/12*2*$E195*$G195*$I195*$N195*CG$9)+(CF195/12*10*$F195*$G195*$I195*$N195*CG$9)</f>
        <v>0</v>
      </c>
      <c r="CH195" s="78">
        <v>0</v>
      </c>
      <c r="CI195" s="36">
        <f>(CH195/12*2*$E195*$G195*$I195*$O195*$CI$9)+(CH195/12*10*$F195*$G195*$I195*$O195*$CI$9)</f>
        <v>0</v>
      </c>
      <c r="CJ195" s="36"/>
      <c r="CK195" s="36"/>
      <c r="CL195" s="36"/>
      <c r="CM195" s="36"/>
      <c r="CN195" s="41"/>
      <c r="CO195" s="41"/>
      <c r="CP195" s="42">
        <f t="shared" si="206"/>
        <v>0</v>
      </c>
      <c r="CQ195" s="42">
        <f t="shared" si="206"/>
        <v>0</v>
      </c>
    </row>
    <row r="196" spans="1:95" s="3" customFormat="1" ht="18.75" hidden="1" customHeight="1" x14ac:dyDescent="0.25">
      <c r="A196" s="54"/>
      <c r="B196" s="54">
        <v>126</v>
      </c>
      <c r="C196" s="55" t="s">
        <v>505</v>
      </c>
      <c r="D196" s="120" t="s">
        <v>506</v>
      </c>
      <c r="E196" s="110">
        <v>16026</v>
      </c>
      <c r="F196" s="110">
        <v>16828</v>
      </c>
      <c r="G196" s="33">
        <v>4.3099999999999996</v>
      </c>
      <c r="H196" s="34"/>
      <c r="I196" s="35">
        <v>1</v>
      </c>
      <c r="J196" s="111"/>
      <c r="K196" s="35"/>
      <c r="L196" s="97">
        <v>1.4</v>
      </c>
      <c r="M196" s="97">
        <v>1.68</v>
      </c>
      <c r="N196" s="97">
        <v>2.23</v>
      </c>
      <c r="O196" s="97">
        <v>2.57</v>
      </c>
      <c r="P196" s="79"/>
      <c r="Q196" s="36">
        <f>SUM(P196/12*2*$E196*$G196*$I196*$L196*$Q$9)+(P196/12*10*$F196*$G196*$I196*$L196*$Q$9)</f>
        <v>0</v>
      </c>
      <c r="R196" s="78"/>
      <c r="S196" s="36">
        <f>SUM(R196/12*2*$E196*$G196*$I196*$L196*S$9)+(R196/12*10*$F196*$G196*$I196*$L196*S$9)</f>
        <v>0</v>
      </c>
      <c r="T196" s="79">
        <v>0</v>
      </c>
      <c r="U196" s="36">
        <f>SUM(T196/12*2*$E196*$G196*$I196*$L196*U$9)+(T196/12*10*$F196*$G196*$I196*$L196*U$9)</f>
        <v>0</v>
      </c>
      <c r="V196" s="78">
        <v>0</v>
      </c>
      <c r="W196" s="36">
        <f>SUM(V196/12*2*$E196*$G196*$I196*$L196*$W$9)+(V196/12*10*$F196*$G196*$I196*$L196*$W$9)</f>
        <v>0</v>
      </c>
      <c r="X196" s="78">
        <v>0</v>
      </c>
      <c r="Y196" s="38">
        <f>SUM(X196/12*2*$E196*$G196*$I196*$L196*Y$9)+(X196/12*10*$F196*$G196*$I196*$L196*Y$9)</f>
        <v>0</v>
      </c>
      <c r="Z196" s="37"/>
      <c r="AA196" s="36"/>
      <c r="AB196" s="78"/>
      <c r="AC196" s="36">
        <f>(AB196/12*2*$E196*$G196*$I196*$L196)+(AB196/12*10*$F196*$G196*$I196*$L196)</f>
        <v>0</v>
      </c>
      <c r="AD196" s="78"/>
      <c r="AE196" s="36">
        <f>(AD196/12*2*$E196*$G196*$I196*$L196*AE$9)+(AD196/12*10*$F196*$G196*$I196*$L196*AE$9)</f>
        <v>0</v>
      </c>
      <c r="AF196" s="78"/>
      <c r="AG196" s="36">
        <f>(AF196/12*2*$E196*$G196*$I196*$M196*AG$9)+(AF196/12*10*$F196*$G196*$I196*$M196*AG$9)</f>
        <v>0</v>
      </c>
      <c r="AH196" s="78">
        <v>0</v>
      </c>
      <c r="AI196" s="36">
        <f>(AH196/12*2*$E196*$G196*$I196*$M196*$AI$9)+(AH196/12*10*$F196*$G196*$I196*$M196*$AI$9)</f>
        <v>0</v>
      </c>
      <c r="AJ196" s="36">
        <v>0</v>
      </c>
      <c r="AK196" s="36">
        <v>0</v>
      </c>
      <c r="AL196" s="78"/>
      <c r="AM196" s="36">
        <f>SUM(AL196/12*2*$E196*$G196*$I196*$L196*AM$9)+(AL196/12*10*$F196*$G196*$I196*$L196*AM$9)</f>
        <v>0</v>
      </c>
      <c r="AN196" s="78">
        <v>0</v>
      </c>
      <c r="AO196" s="36">
        <f>SUM(AN196/12*2*$E196*$G196*$I196*$L196*$AE$9)+(AN196/12*10*$F196*$G196*$I196*$L196*$AE$9)</f>
        <v>0</v>
      </c>
      <c r="AP196" s="78"/>
      <c r="AQ196" s="36"/>
      <c r="AR196" s="37"/>
      <c r="AS196" s="36">
        <f>SUM(AR196/12*2*$E196*$G196*$I196*$L196*AS$9)+(AR196/12*10*$F196*$G196*$I196*$L196*AS$9)</f>
        <v>0</v>
      </c>
      <c r="AT196" s="78">
        <v>0</v>
      </c>
      <c r="AU196" s="36">
        <f>SUM(AT196/12*2*$E196*$G196*$I196*$L196*$AI$9)+(AT196/12*10*$F196*$G196*$I196*$L196*$AI$9)</f>
        <v>0</v>
      </c>
      <c r="AV196" s="78">
        <v>0</v>
      </c>
      <c r="AW196" s="36">
        <f>SUM(AV196/12*2*$E196*$G196*$I196*$L196*AW$9)+(AV196/12*10*$F196*$G196*$I196*$L196*AW$9)</f>
        <v>0</v>
      </c>
      <c r="AX196" s="78">
        <v>0</v>
      </c>
      <c r="AY196" s="36">
        <f>SUM(AX196/12*2*$E196*$G196*$I196*$L196*AY$9)+(AX196/12*10*$F196*$G196*$I196*$L196*AY$9)</f>
        <v>0</v>
      </c>
      <c r="AZ196" s="78">
        <v>0</v>
      </c>
      <c r="BA196" s="36">
        <f>SUM(AZ196/12*2*$E196*$G196*$I196*$L196*BA$9)+(AZ196/12*10*$F196*$G196*$I196*$L196*BA$9)</f>
        <v>0</v>
      </c>
      <c r="BB196" s="78">
        <v>0</v>
      </c>
      <c r="BC196" s="36">
        <f>SUM(BB196/12*2*$E196*$G196*$I196*$L196*BC$9)+(BB196/12*10*$F196*$G196*$I196*$L196*BC$9)</f>
        <v>0</v>
      </c>
      <c r="BD196" s="78"/>
      <c r="BE196" s="36">
        <f>SUM(BD196/12*2*$E196*$G196*$I196*$L196*BE$9)+(BD196/12*10*$F196*$G196*$I196*$L196*BE$9)</f>
        <v>0</v>
      </c>
      <c r="BF196" s="78">
        <v>0</v>
      </c>
      <c r="BG196" s="39">
        <f>(BF196/12*2*$E196*$G196*$I196*$M196*BG$9)+(BF196/12*10*$F196*$G196*$I196*$M196*BG$9)</f>
        <v>0</v>
      </c>
      <c r="BH196" s="60"/>
      <c r="BI196" s="36">
        <f>(BH196/12*2*$E196*$G196*$I196*$M196*BI$9)+(BH196/12*10*$F196*$G196*$I196*$M196*BI$9)</f>
        <v>0</v>
      </c>
      <c r="BJ196" s="78">
        <v>0</v>
      </c>
      <c r="BK196" s="36">
        <f>(BJ196/12*2*$E196*$G196*$I196*$M196*BK$9)+(BJ196/12*10*$F196*$G196*$I196*$M196*BK$9)</f>
        <v>0</v>
      </c>
      <c r="BL196" s="78">
        <v>0</v>
      </c>
      <c r="BM196" s="36">
        <f>(BL196/12*2*$E196*$G196*$I196*$M196*BM$9)+(BL196/12*10*$F196*$G196*$I196*$M196*BM$9)</f>
        <v>0</v>
      </c>
      <c r="BN196" s="78"/>
      <c r="BO196" s="36">
        <f>(BN196/12*10*$F196*$G196*$I196*$M196*BO$9)</f>
        <v>0</v>
      </c>
      <c r="BP196" s="80"/>
      <c r="BQ196" s="36"/>
      <c r="BR196" s="78">
        <v>0</v>
      </c>
      <c r="BS196" s="36">
        <f>(BR196/12*10*$F196*$G196*$I196*$M196*BS$9)</f>
        <v>0</v>
      </c>
      <c r="BT196" s="78">
        <v>0</v>
      </c>
      <c r="BU196" s="36">
        <f>(BT196/12*2*$E196*$G196*$I196*$M196*BU$9)+(BT196/12*10*$F196*$G196*$I196*$M196*BU$9)</f>
        <v>0</v>
      </c>
      <c r="BV196" s="79">
        <v>0</v>
      </c>
      <c r="BW196" s="36">
        <f>(BV196/12*2*$E196*$G196*$I196*$M196*BW$9)+(BV196/12*10*$F196*$G196*$I196*$M196*BW$9)</f>
        <v>0</v>
      </c>
      <c r="BX196" s="78">
        <v>0</v>
      </c>
      <c r="BY196" s="36">
        <f>(BX196/12*2*$E196*$G196*$I196*$M196*BY$9)+(BX196/12*10*$F196*$G196*$I196*$M196*BY$9)</f>
        <v>0</v>
      </c>
      <c r="BZ196" s="78"/>
      <c r="CA196" s="36">
        <f>(BZ196/12*2*$E196*$G196*$I196*$M196*CA$9)+(BZ196/12*10*$F196*$G196*$I196*$M196*CA$9)</f>
        <v>0</v>
      </c>
      <c r="CB196" s="78"/>
      <c r="CC196" s="36">
        <f>(CB196/12*2*$E196*$G196*$I196*$M196*CC$9)+(CB196/12*10*$F196*$G196*$I196*$M196*CC$9)</f>
        <v>0</v>
      </c>
      <c r="CD196" s="78">
        <v>0</v>
      </c>
      <c r="CE196" s="36">
        <f>(CD196/12*2*$E196*$G196*$I196*$M196*CE$9)+(CD196/12*10*$F196*$G196*$I196*$M196*CE$9)</f>
        <v>0</v>
      </c>
      <c r="CF196" s="78">
        <v>0</v>
      </c>
      <c r="CG196" s="36">
        <f>(CF196/12*2*$E196*$G196*$I196*$N196*CG$9)+(CF196/12*10*$F196*$G196*$I196*$N196*CG$9)</f>
        <v>0</v>
      </c>
      <c r="CH196" s="78">
        <v>0</v>
      </c>
      <c r="CI196" s="36">
        <f>(CH196/12*2*$E196*$G196*$I196*$O196*$CI$9)+(CH196/12*10*$F196*$G196*$I196*$O196*$CI$9)</f>
        <v>0</v>
      </c>
      <c r="CJ196" s="36"/>
      <c r="CK196" s="36"/>
      <c r="CL196" s="36"/>
      <c r="CM196" s="36"/>
      <c r="CN196" s="41"/>
      <c r="CO196" s="41"/>
      <c r="CP196" s="42">
        <f t="shared" si="206"/>
        <v>0</v>
      </c>
      <c r="CQ196" s="42">
        <f t="shared" si="206"/>
        <v>0</v>
      </c>
    </row>
    <row r="197" spans="1:95" ht="18.75" hidden="1" customHeight="1" x14ac:dyDescent="0.25">
      <c r="A197" s="124">
        <v>26</v>
      </c>
      <c r="B197" s="124"/>
      <c r="C197" s="149" t="s">
        <v>507</v>
      </c>
      <c r="D197" s="141" t="s">
        <v>508</v>
      </c>
      <c r="E197" s="110">
        <v>16026</v>
      </c>
      <c r="F197" s="134">
        <v>16828</v>
      </c>
      <c r="G197" s="138">
        <v>0.98</v>
      </c>
      <c r="H197" s="136"/>
      <c r="I197" s="128"/>
      <c r="J197" s="129"/>
      <c r="K197" s="29"/>
      <c r="L197" s="97">
        <v>1.4</v>
      </c>
      <c r="M197" s="97">
        <v>1.68</v>
      </c>
      <c r="N197" s="97">
        <v>2.23</v>
      </c>
      <c r="O197" s="97">
        <v>2.57</v>
      </c>
      <c r="P197" s="139">
        <f>P198</f>
        <v>0</v>
      </c>
      <c r="Q197" s="139">
        <f t="shared" ref="Q197:CB197" si="207">Q198</f>
        <v>0</v>
      </c>
      <c r="R197" s="139">
        <f t="shared" si="207"/>
        <v>0</v>
      </c>
      <c r="S197" s="139">
        <f t="shared" si="207"/>
        <v>0</v>
      </c>
      <c r="T197" s="139">
        <f t="shared" si="207"/>
        <v>0</v>
      </c>
      <c r="U197" s="139">
        <f t="shared" si="207"/>
        <v>0</v>
      </c>
      <c r="V197" s="139">
        <f t="shared" si="207"/>
        <v>0</v>
      </c>
      <c r="W197" s="139">
        <f t="shared" si="207"/>
        <v>0</v>
      </c>
      <c r="X197" s="139">
        <f t="shared" si="207"/>
        <v>0</v>
      </c>
      <c r="Y197" s="139">
        <f t="shared" si="207"/>
        <v>0</v>
      </c>
      <c r="Z197" s="139">
        <f t="shared" si="207"/>
        <v>0</v>
      </c>
      <c r="AA197" s="139">
        <f t="shared" si="207"/>
        <v>0</v>
      </c>
      <c r="AB197" s="139">
        <f t="shared" si="207"/>
        <v>0</v>
      </c>
      <c r="AC197" s="139">
        <f t="shared" si="207"/>
        <v>0</v>
      </c>
      <c r="AD197" s="139">
        <f t="shared" si="207"/>
        <v>0</v>
      </c>
      <c r="AE197" s="139">
        <f t="shared" si="207"/>
        <v>0</v>
      </c>
      <c r="AF197" s="139">
        <f t="shared" si="207"/>
        <v>0</v>
      </c>
      <c r="AG197" s="139">
        <f t="shared" si="207"/>
        <v>0</v>
      </c>
      <c r="AH197" s="139">
        <f>AH198</f>
        <v>0</v>
      </c>
      <c r="AI197" s="139">
        <f t="shared" si="207"/>
        <v>0</v>
      </c>
      <c r="AJ197" s="139">
        <v>0</v>
      </c>
      <c r="AK197" s="139">
        <v>0</v>
      </c>
      <c r="AL197" s="139">
        <f t="shared" si="207"/>
        <v>0</v>
      </c>
      <c r="AM197" s="139">
        <f t="shared" si="207"/>
        <v>0</v>
      </c>
      <c r="AN197" s="139">
        <f t="shared" si="207"/>
        <v>0</v>
      </c>
      <c r="AO197" s="139">
        <f t="shared" si="207"/>
        <v>0</v>
      </c>
      <c r="AP197" s="139">
        <f t="shared" si="207"/>
        <v>0</v>
      </c>
      <c r="AQ197" s="139">
        <f t="shared" si="207"/>
        <v>0</v>
      </c>
      <c r="AR197" s="139">
        <f t="shared" si="207"/>
        <v>0</v>
      </c>
      <c r="AS197" s="139">
        <f t="shared" si="207"/>
        <v>0</v>
      </c>
      <c r="AT197" s="139">
        <f t="shared" si="207"/>
        <v>0</v>
      </c>
      <c r="AU197" s="139">
        <f t="shared" si="207"/>
        <v>0</v>
      </c>
      <c r="AV197" s="139">
        <f t="shared" si="207"/>
        <v>0</v>
      </c>
      <c r="AW197" s="139">
        <f t="shared" si="207"/>
        <v>0</v>
      </c>
      <c r="AX197" s="139">
        <f t="shared" si="207"/>
        <v>0</v>
      </c>
      <c r="AY197" s="139">
        <f t="shared" si="207"/>
        <v>0</v>
      </c>
      <c r="AZ197" s="139">
        <f t="shared" si="207"/>
        <v>0</v>
      </c>
      <c r="BA197" s="139">
        <f t="shared" si="207"/>
        <v>0</v>
      </c>
      <c r="BB197" s="139">
        <f t="shared" si="207"/>
        <v>0</v>
      </c>
      <c r="BC197" s="139">
        <f t="shared" si="207"/>
        <v>0</v>
      </c>
      <c r="BD197" s="139">
        <f t="shared" si="207"/>
        <v>0</v>
      </c>
      <c r="BE197" s="139">
        <f t="shared" si="207"/>
        <v>0</v>
      </c>
      <c r="BF197" s="139">
        <f t="shared" si="207"/>
        <v>0</v>
      </c>
      <c r="BG197" s="139">
        <f t="shared" si="207"/>
        <v>0</v>
      </c>
      <c r="BH197" s="139">
        <f t="shared" si="207"/>
        <v>0</v>
      </c>
      <c r="BI197" s="139">
        <f t="shared" si="207"/>
        <v>0</v>
      </c>
      <c r="BJ197" s="139">
        <f t="shared" si="207"/>
        <v>0</v>
      </c>
      <c r="BK197" s="139">
        <f t="shared" si="207"/>
        <v>0</v>
      </c>
      <c r="BL197" s="139">
        <f t="shared" si="207"/>
        <v>0</v>
      </c>
      <c r="BM197" s="139">
        <f t="shared" si="207"/>
        <v>0</v>
      </c>
      <c r="BN197" s="139">
        <f t="shared" si="207"/>
        <v>0</v>
      </c>
      <c r="BO197" s="139">
        <f t="shared" si="207"/>
        <v>0</v>
      </c>
      <c r="BP197" s="139">
        <f t="shared" si="207"/>
        <v>0</v>
      </c>
      <c r="BQ197" s="139">
        <f t="shared" si="207"/>
        <v>0</v>
      </c>
      <c r="BR197" s="139">
        <f t="shared" si="207"/>
        <v>20</v>
      </c>
      <c r="BS197" s="139">
        <f t="shared" si="207"/>
        <v>461760.32000000007</v>
      </c>
      <c r="BT197" s="139">
        <f t="shared" si="207"/>
        <v>0</v>
      </c>
      <c r="BU197" s="139">
        <f t="shared" si="207"/>
        <v>0</v>
      </c>
      <c r="BV197" s="139">
        <f t="shared" si="207"/>
        <v>0</v>
      </c>
      <c r="BW197" s="139">
        <f t="shared" si="207"/>
        <v>0</v>
      </c>
      <c r="BX197" s="139">
        <f t="shared" si="207"/>
        <v>0</v>
      </c>
      <c r="BY197" s="139">
        <f t="shared" si="207"/>
        <v>0</v>
      </c>
      <c r="BZ197" s="139">
        <f t="shared" si="207"/>
        <v>0</v>
      </c>
      <c r="CA197" s="139">
        <f t="shared" si="207"/>
        <v>0</v>
      </c>
      <c r="CB197" s="139">
        <f t="shared" si="207"/>
        <v>0</v>
      </c>
      <c r="CC197" s="139">
        <f t="shared" ref="CC197:CQ197" si="208">CC198</f>
        <v>0</v>
      </c>
      <c r="CD197" s="139">
        <f t="shared" si="208"/>
        <v>0</v>
      </c>
      <c r="CE197" s="139">
        <f t="shared" si="208"/>
        <v>0</v>
      </c>
      <c r="CF197" s="139">
        <f t="shared" si="208"/>
        <v>0</v>
      </c>
      <c r="CG197" s="139">
        <f t="shared" si="208"/>
        <v>0</v>
      </c>
      <c r="CH197" s="139">
        <f t="shared" si="208"/>
        <v>0</v>
      </c>
      <c r="CI197" s="139">
        <f t="shared" si="208"/>
        <v>0</v>
      </c>
      <c r="CJ197" s="139">
        <f t="shared" si="208"/>
        <v>0</v>
      </c>
      <c r="CK197" s="139">
        <f t="shared" si="208"/>
        <v>0</v>
      </c>
      <c r="CL197" s="139">
        <f t="shared" si="208"/>
        <v>0</v>
      </c>
      <c r="CM197" s="139">
        <f t="shared" si="208"/>
        <v>0</v>
      </c>
      <c r="CN197" s="139">
        <f t="shared" si="208"/>
        <v>0</v>
      </c>
      <c r="CO197" s="139">
        <f t="shared" si="208"/>
        <v>0</v>
      </c>
      <c r="CP197" s="139">
        <f t="shared" si="208"/>
        <v>20</v>
      </c>
      <c r="CQ197" s="139">
        <f t="shared" si="208"/>
        <v>461760.32000000007</v>
      </c>
    </row>
    <row r="198" spans="1:95" s="3" customFormat="1" ht="45" hidden="1" customHeight="1" x14ac:dyDescent="0.25">
      <c r="A198" s="54"/>
      <c r="B198" s="54">
        <v>127</v>
      </c>
      <c r="C198" s="55" t="s">
        <v>509</v>
      </c>
      <c r="D198" s="120" t="s">
        <v>510</v>
      </c>
      <c r="E198" s="110">
        <v>16026</v>
      </c>
      <c r="F198" s="110">
        <v>16828</v>
      </c>
      <c r="G198" s="33">
        <v>0.98</v>
      </c>
      <c r="H198" s="34"/>
      <c r="I198" s="35">
        <v>1</v>
      </c>
      <c r="J198" s="111"/>
      <c r="K198" s="35"/>
      <c r="L198" s="97">
        <v>1.4</v>
      </c>
      <c r="M198" s="97">
        <v>1.68</v>
      </c>
      <c r="N198" s="97">
        <v>2.23</v>
      </c>
      <c r="O198" s="97">
        <v>2.57</v>
      </c>
      <c r="P198" s="36"/>
      <c r="Q198" s="36">
        <f>SUM(P198/12*2*$E198*$G198*$I198*$L198*$Q$9)+(P198/12*10*$F198*$G198*$I198*$L198*$Q$9)</f>
        <v>0</v>
      </c>
      <c r="R198" s="37"/>
      <c r="S198" s="36">
        <f>SUM(R198/12*2*$E198*$G198*$I198*$L198*S$9)+(R198/12*10*$F198*$G198*$I198*$L198*S$9)</f>
        <v>0</v>
      </c>
      <c r="T198" s="36"/>
      <c r="U198" s="36">
        <f>SUM(T198/12*2*$E198*$G198*$I198*$L198*U$9)+(T198/12*10*$F198*$G198*$I198*$L198*U$9)</f>
        <v>0</v>
      </c>
      <c r="V198" s="37"/>
      <c r="W198" s="36">
        <f>SUM(V198/12*2*$E198*$G198*$I198*$L198*$W$9)+(V198/12*10*$F198*$G198*$I198*$L198*$W$9)</f>
        <v>0</v>
      </c>
      <c r="X198" s="37"/>
      <c r="Y198" s="38">
        <f>SUM(X198/12*2*$E198*$G198*$I198*$L198*Y$9)+(X198/12*10*$F198*$G198*$I198*$L198*Y$9)</f>
        <v>0</v>
      </c>
      <c r="Z198" s="37"/>
      <c r="AA198" s="36"/>
      <c r="AB198" s="37">
        <v>0</v>
      </c>
      <c r="AC198" s="36">
        <f>(AB198/12*2*$E198*$G198*$I198*$L198)+(AB198/12*10*$F198*$G198*$I198*$L198)</f>
        <v>0</v>
      </c>
      <c r="AD198" s="37">
        <v>0</v>
      </c>
      <c r="AE198" s="36">
        <f>(AD198/12*2*$E198*$G198*$I198*$L198*AE$9)+(AD198/12*10*$F198*$G198*$I198*$L198*AE$9)</f>
        <v>0</v>
      </c>
      <c r="AF198" s="37">
        <v>0</v>
      </c>
      <c r="AG198" s="36">
        <f>(AF198/12*2*$E198*$G198*$I198*$M198*AG$9)+(AF198/12*10*$F198*$G198*$I198*$M198*AG$9)</f>
        <v>0</v>
      </c>
      <c r="AH198" s="37"/>
      <c r="AI198" s="36">
        <f>(AH198/12*2*$E198*$G198*$I198*$M198*$AI$9)+(AH198/12*10*$F198*$G198*$I198*$M198*$AI$9)</f>
        <v>0</v>
      </c>
      <c r="AJ198" s="36">
        <v>0</v>
      </c>
      <c r="AK198" s="36">
        <v>0</v>
      </c>
      <c r="AL198" s="37"/>
      <c r="AM198" s="36">
        <f>SUM(AL198/12*2*$E198*$G198*$I198*$L198*AM$9)+(AL198/12*10*$F198*$G198*$I198*$L198*AM$9)</f>
        <v>0</v>
      </c>
      <c r="AN198" s="37"/>
      <c r="AO198" s="36">
        <f>SUM(AN198/12*2*$E198*$G198*$I198*$L198*$AE$9)+(AN198/12*10*$F198*$G198*$I198*$L198*$AE$9)</f>
        <v>0</v>
      </c>
      <c r="AP198" s="37"/>
      <c r="AQ198" s="36"/>
      <c r="AR198" s="37"/>
      <c r="AS198" s="36">
        <f>SUM(AR198/12*2*$E198*$G198*$I198*$L198*AS$9)+(AR198/12*10*$F198*$G198*$I198*$L198*AS$9)</f>
        <v>0</v>
      </c>
      <c r="AT198" s="37"/>
      <c r="AU198" s="36">
        <f>SUM(AT198/12*2*$E198*$G198*$I198*$L198*$AI$9)+(AT198/12*10*$F198*$G198*$I198*$L198*$AI$9)</f>
        <v>0</v>
      </c>
      <c r="AV198" s="37"/>
      <c r="AW198" s="36">
        <f>SUM(AV198/12*2*$E198*$G198*$I198*$L198*AW$9)+(AV198/12*10*$F198*$G198*$I198*$L198*AW$9)</f>
        <v>0</v>
      </c>
      <c r="AX198" s="37"/>
      <c r="AY198" s="36">
        <f>SUM(AX198/12*2*$E198*$G198*$I198*$L198*AY$9)+(AX198/12*10*$F198*$G198*$I198*$L198*AY$9)</f>
        <v>0</v>
      </c>
      <c r="AZ198" s="37"/>
      <c r="BA198" s="36">
        <f>SUM(AZ198/12*2*$E198*$G198*$I198*$L198*BA$9)+(AZ198/12*10*$F198*$G198*$I198*$L198*BA$9)</f>
        <v>0</v>
      </c>
      <c r="BB198" s="37"/>
      <c r="BC198" s="36">
        <f>SUM(BB198/12*2*$E198*$G198*$I198*$L198*BC$9)+(BB198/12*10*$F198*$G198*$I198*$L198*BC$9)</f>
        <v>0</v>
      </c>
      <c r="BD198" s="37"/>
      <c r="BE198" s="36">
        <f>SUM(BD198/12*2*$E198*$G198*$I198*$L198*BE$9)+(BD198/12*10*$F198*$G198*$I198*$L198*BE$9)</f>
        <v>0</v>
      </c>
      <c r="BF198" s="37"/>
      <c r="BG198" s="39">
        <f>(BF198/12*2*$E198*$G198*$I198*$M198*BG$9)+(BF198/12*10*$F198*$G198*$I198*$M198*BG$9)</f>
        <v>0</v>
      </c>
      <c r="BH198" s="60"/>
      <c r="BI198" s="36">
        <f>(BH198/12*2*$E198*$G198*$I198*$M198*BI$9)+(BH198/12*10*$F198*$G198*$I198*$M198*BI$9)</f>
        <v>0</v>
      </c>
      <c r="BJ198" s="40"/>
      <c r="BK198" s="36">
        <f>(BJ198/12*2*$E198*$G198*$I198*$M198*BK$9)+(BJ198/12*10*$F198*$G198*$I198*$M198*BK$9)</f>
        <v>0</v>
      </c>
      <c r="BL198" s="37"/>
      <c r="BM198" s="36">
        <f>(BL198/12*2*$E198*$G198*$I198*$M198*BM$9)+(BL198/12*10*$F198*$G198*$I198*$M198*BM$9)</f>
        <v>0</v>
      </c>
      <c r="BN198" s="37"/>
      <c r="BO198" s="36">
        <f>(BN198/12*10*$F198*$G198*$I198*$M198*BO$9)</f>
        <v>0</v>
      </c>
      <c r="BP198" s="39"/>
      <c r="BQ198" s="36"/>
      <c r="BR198" s="58">
        <v>20</v>
      </c>
      <c r="BS198" s="36">
        <f>(BR198/12*10*$F198*$G198*$I198*$M198*BS$9)</f>
        <v>461760.32000000007</v>
      </c>
      <c r="BT198" s="37"/>
      <c r="BU198" s="36">
        <f>(BT198/12*2*$E198*$G198*$I198*$M198*BU$9)+(BT198/12*10*$F198*$G198*$I198*$M198*BU$9)</f>
        <v>0</v>
      </c>
      <c r="BV198" s="36"/>
      <c r="BW198" s="36">
        <f>(BV198/12*2*$E198*$G198*$I198*$M198*BW$9)+(BV198/12*10*$F198*$G198*$I198*$M198*BW$9)</f>
        <v>0</v>
      </c>
      <c r="BX198" s="37"/>
      <c r="BY198" s="36">
        <f>(BX198/12*2*$E198*$G198*$I198*$M198*BY$9)+(BX198/12*10*$F198*$G198*$I198*$M198*BY$9)</f>
        <v>0</v>
      </c>
      <c r="BZ198" s="37"/>
      <c r="CA198" s="36">
        <f>(BZ198/12*2*$E198*$G198*$I198*$M198*CA$9)+(BZ198/12*10*$F198*$G198*$I198*$M198*CA$9)</f>
        <v>0</v>
      </c>
      <c r="CB198" s="37"/>
      <c r="CC198" s="36">
        <f>(CB198/12*2*$E198*$G198*$I198*$M198*CC$9)+(CB198/12*10*$F198*$G198*$I198*$M198*CC$9)</f>
        <v>0</v>
      </c>
      <c r="CD198" s="37"/>
      <c r="CE198" s="36">
        <f>(CD198/12*2*$E198*$G198*$I198*$M198*CE$9)+(CD198/12*10*$F198*$G198*$I198*$M198*CE$9)</f>
        <v>0</v>
      </c>
      <c r="CF198" s="37"/>
      <c r="CG198" s="36">
        <f>(CF198/12*2*$E198*$G198*$I198*$N198*CG$9)+(CF198/12*10*$F198*$G198*$I198*$N198*CG$9)</f>
        <v>0</v>
      </c>
      <c r="CH198" s="37"/>
      <c r="CI198" s="36">
        <f>(CH198/12*2*$E198*$G198*$I198*$O198*$CI$9)+(CH198/12*10*$F198*$G198*$I198*$O198*$CI$9)</f>
        <v>0</v>
      </c>
      <c r="CJ198" s="36"/>
      <c r="CK198" s="36"/>
      <c r="CL198" s="36"/>
      <c r="CM198" s="36"/>
      <c r="CN198" s="41"/>
      <c r="CO198" s="41"/>
      <c r="CP198" s="42">
        <f>SUM(R198+P198+T198+V198+AB198+Z198+X198+AF198+AD198+AH198+AJ198+BF198+BJ198+AL198+AT198+AV198+BT198+BV198+BR198+BX198+BZ198+BN198+AN198+AP198+AR198+BH198+BL198+AX198+AZ198+BB198+BD198+BP198+CB198+CD198+CF198+CH198+CJ198+CL198)</f>
        <v>20</v>
      </c>
      <c r="CQ198" s="42">
        <f>SUM(S198+Q198+U198+W198+AC198+AA198+Y198+AG198+AE198+AI198+AK198+BG198+BK198+AM198+AU198+AW198+BU198+BW198+BS198+BY198+CA198+BO198+AO198+AQ198+AS198+BI198+BM198+AY198+BA198+BC198+BE198+BQ198+CC198+CE198+CG198+CI198+CK198+CM198)</f>
        <v>461760.32000000007</v>
      </c>
    </row>
    <row r="199" spans="1:95" ht="18.75" hidden="1" customHeight="1" x14ac:dyDescent="0.25">
      <c r="A199" s="124">
        <v>27</v>
      </c>
      <c r="B199" s="124"/>
      <c r="C199" s="149" t="s">
        <v>511</v>
      </c>
      <c r="D199" s="141" t="s">
        <v>512</v>
      </c>
      <c r="E199" s="110">
        <v>16026</v>
      </c>
      <c r="F199" s="134">
        <v>16828</v>
      </c>
      <c r="G199" s="138">
        <v>0.74</v>
      </c>
      <c r="H199" s="136"/>
      <c r="I199" s="128"/>
      <c r="J199" s="129"/>
      <c r="K199" s="29"/>
      <c r="L199" s="97">
        <v>1.4</v>
      </c>
      <c r="M199" s="97">
        <v>1.68</v>
      </c>
      <c r="N199" s="97">
        <v>2.23</v>
      </c>
      <c r="O199" s="97">
        <v>2.57</v>
      </c>
      <c r="P199" s="139">
        <f>P200</f>
        <v>0</v>
      </c>
      <c r="Q199" s="139">
        <f t="shared" ref="Q199:CB199" si="209">Q200</f>
        <v>0</v>
      </c>
      <c r="R199" s="139">
        <f t="shared" si="209"/>
        <v>0</v>
      </c>
      <c r="S199" s="139">
        <f t="shared" si="209"/>
        <v>0</v>
      </c>
      <c r="T199" s="139">
        <f t="shared" si="209"/>
        <v>0</v>
      </c>
      <c r="U199" s="139">
        <f t="shared" si="209"/>
        <v>0</v>
      </c>
      <c r="V199" s="139">
        <f t="shared" si="209"/>
        <v>0</v>
      </c>
      <c r="W199" s="139">
        <f t="shared" si="209"/>
        <v>0</v>
      </c>
      <c r="X199" s="139">
        <f t="shared" si="209"/>
        <v>0</v>
      </c>
      <c r="Y199" s="139">
        <f t="shared" si="209"/>
        <v>0</v>
      </c>
      <c r="Z199" s="139">
        <f t="shared" si="209"/>
        <v>0</v>
      </c>
      <c r="AA199" s="139">
        <f t="shared" si="209"/>
        <v>0</v>
      </c>
      <c r="AB199" s="139">
        <f t="shared" si="209"/>
        <v>0</v>
      </c>
      <c r="AC199" s="139">
        <f t="shared" si="209"/>
        <v>0</v>
      </c>
      <c r="AD199" s="139">
        <f t="shared" si="209"/>
        <v>2</v>
      </c>
      <c r="AE199" s="139">
        <f t="shared" si="209"/>
        <v>34590.658666666663</v>
      </c>
      <c r="AF199" s="139">
        <f t="shared" si="209"/>
        <v>0</v>
      </c>
      <c r="AG199" s="139">
        <f t="shared" si="209"/>
        <v>0</v>
      </c>
      <c r="AH199" s="139">
        <f>AH200</f>
        <v>0</v>
      </c>
      <c r="AI199" s="139">
        <f t="shared" si="209"/>
        <v>0</v>
      </c>
      <c r="AJ199" s="139">
        <v>0</v>
      </c>
      <c r="AK199" s="139">
        <v>0</v>
      </c>
      <c r="AL199" s="139">
        <f t="shared" si="209"/>
        <v>0</v>
      </c>
      <c r="AM199" s="139">
        <f t="shared" si="209"/>
        <v>0</v>
      </c>
      <c r="AN199" s="139">
        <f t="shared" si="209"/>
        <v>0</v>
      </c>
      <c r="AO199" s="139">
        <f t="shared" si="209"/>
        <v>0</v>
      </c>
      <c r="AP199" s="139">
        <f t="shared" si="209"/>
        <v>0</v>
      </c>
      <c r="AQ199" s="139">
        <f t="shared" si="209"/>
        <v>0</v>
      </c>
      <c r="AR199" s="139">
        <f t="shared" si="209"/>
        <v>0</v>
      </c>
      <c r="AS199" s="139">
        <f t="shared" si="209"/>
        <v>0</v>
      </c>
      <c r="AT199" s="139">
        <f t="shared" si="209"/>
        <v>0</v>
      </c>
      <c r="AU199" s="139">
        <f t="shared" si="209"/>
        <v>0</v>
      </c>
      <c r="AV199" s="139">
        <f t="shared" si="209"/>
        <v>0</v>
      </c>
      <c r="AW199" s="139">
        <f t="shared" si="209"/>
        <v>0</v>
      </c>
      <c r="AX199" s="139">
        <f t="shared" si="209"/>
        <v>8</v>
      </c>
      <c r="AY199" s="139">
        <f t="shared" si="209"/>
        <v>138362.63466666665</v>
      </c>
      <c r="AZ199" s="139">
        <f t="shared" si="209"/>
        <v>0</v>
      </c>
      <c r="BA199" s="139">
        <f t="shared" si="209"/>
        <v>0</v>
      </c>
      <c r="BB199" s="139">
        <f t="shared" si="209"/>
        <v>0</v>
      </c>
      <c r="BC199" s="139">
        <f t="shared" si="209"/>
        <v>0</v>
      </c>
      <c r="BD199" s="139">
        <f t="shared" si="209"/>
        <v>1</v>
      </c>
      <c r="BE199" s="139">
        <f t="shared" si="209"/>
        <v>17295.329333333331</v>
      </c>
      <c r="BF199" s="139">
        <f t="shared" si="209"/>
        <v>0</v>
      </c>
      <c r="BG199" s="139">
        <f t="shared" si="209"/>
        <v>0</v>
      </c>
      <c r="BH199" s="139">
        <f t="shared" si="209"/>
        <v>0</v>
      </c>
      <c r="BI199" s="139">
        <f t="shared" si="209"/>
        <v>0</v>
      </c>
      <c r="BJ199" s="139">
        <f t="shared" si="209"/>
        <v>20</v>
      </c>
      <c r="BK199" s="139">
        <f t="shared" si="209"/>
        <v>415087.90399999998</v>
      </c>
      <c r="BL199" s="139">
        <f t="shared" si="209"/>
        <v>0</v>
      </c>
      <c r="BM199" s="139">
        <f t="shared" si="209"/>
        <v>0</v>
      </c>
      <c r="BN199" s="139">
        <f t="shared" si="209"/>
        <v>0</v>
      </c>
      <c r="BO199" s="139">
        <f t="shared" si="209"/>
        <v>0</v>
      </c>
      <c r="BP199" s="139">
        <f t="shared" si="209"/>
        <v>0</v>
      </c>
      <c r="BQ199" s="139">
        <f t="shared" si="209"/>
        <v>0</v>
      </c>
      <c r="BR199" s="139">
        <f t="shared" si="209"/>
        <v>24</v>
      </c>
      <c r="BS199" s="139">
        <f t="shared" si="209"/>
        <v>418411.39199999999</v>
      </c>
      <c r="BT199" s="139">
        <f t="shared" si="209"/>
        <v>0</v>
      </c>
      <c r="BU199" s="139">
        <f t="shared" si="209"/>
        <v>0</v>
      </c>
      <c r="BV199" s="139">
        <f t="shared" si="209"/>
        <v>0</v>
      </c>
      <c r="BW199" s="139">
        <f t="shared" si="209"/>
        <v>0</v>
      </c>
      <c r="BX199" s="139">
        <f t="shared" si="209"/>
        <v>0</v>
      </c>
      <c r="BY199" s="139">
        <f t="shared" si="209"/>
        <v>0</v>
      </c>
      <c r="BZ199" s="139">
        <f t="shared" si="209"/>
        <v>0</v>
      </c>
      <c r="CA199" s="139">
        <f t="shared" si="209"/>
        <v>0</v>
      </c>
      <c r="CB199" s="139">
        <f t="shared" si="209"/>
        <v>0</v>
      </c>
      <c r="CC199" s="139">
        <f t="shared" ref="CC199:CQ199" si="210">CC200</f>
        <v>0</v>
      </c>
      <c r="CD199" s="139">
        <f t="shared" si="210"/>
        <v>0</v>
      </c>
      <c r="CE199" s="139">
        <f t="shared" si="210"/>
        <v>0</v>
      </c>
      <c r="CF199" s="139">
        <f t="shared" si="210"/>
        <v>0</v>
      </c>
      <c r="CG199" s="139">
        <f t="shared" si="210"/>
        <v>0</v>
      </c>
      <c r="CH199" s="139">
        <f t="shared" si="210"/>
        <v>0</v>
      </c>
      <c r="CI199" s="139">
        <f t="shared" si="210"/>
        <v>0</v>
      </c>
      <c r="CJ199" s="139">
        <f t="shared" si="210"/>
        <v>0</v>
      </c>
      <c r="CK199" s="139">
        <f t="shared" si="210"/>
        <v>0</v>
      </c>
      <c r="CL199" s="139">
        <f t="shared" si="210"/>
        <v>0</v>
      </c>
      <c r="CM199" s="139">
        <f t="shared" si="210"/>
        <v>0</v>
      </c>
      <c r="CN199" s="139">
        <f t="shared" si="210"/>
        <v>0</v>
      </c>
      <c r="CO199" s="139">
        <f t="shared" si="210"/>
        <v>0</v>
      </c>
      <c r="CP199" s="139">
        <f t="shared" si="210"/>
        <v>55</v>
      </c>
      <c r="CQ199" s="139">
        <f t="shared" si="210"/>
        <v>1023747.9186666666</v>
      </c>
    </row>
    <row r="200" spans="1:95" s="3" customFormat="1" ht="30" hidden="1" customHeight="1" x14ac:dyDescent="0.25">
      <c r="A200" s="54"/>
      <c r="B200" s="54">
        <v>128</v>
      </c>
      <c r="C200" s="55" t="s">
        <v>513</v>
      </c>
      <c r="D200" s="121" t="s">
        <v>514</v>
      </c>
      <c r="E200" s="110">
        <v>16026</v>
      </c>
      <c r="F200" s="110">
        <v>16828</v>
      </c>
      <c r="G200" s="33">
        <v>0.74</v>
      </c>
      <c r="H200" s="34"/>
      <c r="I200" s="35">
        <v>1</v>
      </c>
      <c r="J200" s="111"/>
      <c r="K200" s="35"/>
      <c r="L200" s="97">
        <v>1.4</v>
      </c>
      <c r="M200" s="97">
        <v>1.68</v>
      </c>
      <c r="N200" s="97">
        <v>2.23</v>
      </c>
      <c r="O200" s="97">
        <v>2.57</v>
      </c>
      <c r="P200" s="36"/>
      <c r="Q200" s="36">
        <f>SUM(P200/12*2*$E200*$G200*$I200*$L200*$Q$9)+(P200/12*10*$F200*$G200*$I200*$L200*$Q$9)</f>
        <v>0</v>
      </c>
      <c r="R200" s="37"/>
      <c r="S200" s="36">
        <f>SUM(R200/12*2*$E200*$G200*$I200*$L200*S$9)+(R200/12*10*$F200*$G200*$I200*$L200*S$9)</f>
        <v>0</v>
      </c>
      <c r="T200" s="36"/>
      <c r="U200" s="36">
        <f>SUM(T200/12*2*$E200*$G200*$I200*$L200*U$9)+(T200/12*10*$F200*$G200*$I200*$L200*U$9)</f>
        <v>0</v>
      </c>
      <c r="V200" s="37"/>
      <c r="W200" s="36">
        <f>SUM(V200/12*2*$E200*$G200*$I200*$L200*$W$9)+(V200/12*10*$F200*$G200*$I200*$L200*$W$9)</f>
        <v>0</v>
      </c>
      <c r="X200" s="37"/>
      <c r="Y200" s="38">
        <f>SUM(X200/12*2*$E200*$G200*$I200*$L200*Y$9)+(X200/12*10*$F200*$G200*$I200*$L200*Y$9)</f>
        <v>0</v>
      </c>
      <c r="Z200" s="37"/>
      <c r="AA200" s="36"/>
      <c r="AB200" s="37">
        <v>0</v>
      </c>
      <c r="AC200" s="36">
        <f>(AB200/12*2*$E200*$G200*$I200*$L200)+(AB200/12*10*$F200*$G200*$I200*$L200)</f>
        <v>0</v>
      </c>
      <c r="AD200" s="39">
        <v>2</v>
      </c>
      <c r="AE200" s="36">
        <f>(AD200/12*2*$E200*$G200*$I200*$L200*AE$9)+(AD200/12*10*$F200*$G200*$I200*$L200*AE$9)</f>
        <v>34590.658666666663</v>
      </c>
      <c r="AF200" s="37">
        <v>0</v>
      </c>
      <c r="AG200" s="36">
        <f>(AF200/12*2*$E200*$G200*$I200*$M200*AG$9)+(AF200/12*10*$F200*$G200*$I200*$M200*AG$9)</f>
        <v>0</v>
      </c>
      <c r="AH200" s="31"/>
      <c r="AI200" s="36">
        <f>(AH200/12*2*$E200*$G200*$I200*$M200*$AI$9)+(AH200/12*10*$F200*$G200*$I200*$M200*$AI$9)</f>
        <v>0</v>
      </c>
      <c r="AJ200" s="36">
        <v>0</v>
      </c>
      <c r="AK200" s="36">
        <v>0</v>
      </c>
      <c r="AL200" s="37"/>
      <c r="AM200" s="36">
        <f>SUM(AL200/12*2*$E200*$G200*$I200*$L200*AM$9)+(AL200/12*10*$F200*$G200*$I200*$L200*AM$9)</f>
        <v>0</v>
      </c>
      <c r="AN200" s="37"/>
      <c r="AO200" s="36">
        <f>SUM(AN200/12*2*$E200*$G200*$I200*$L200*$AE$9)+(AN200/12*10*$F200*$G200*$I200*$L200*$AE$9)</f>
        <v>0</v>
      </c>
      <c r="AP200" s="37"/>
      <c r="AQ200" s="36"/>
      <c r="AR200" s="37"/>
      <c r="AS200" s="36">
        <f>SUM(AR200/12*2*$E200*$G200*$I200*$L200*AS$9)+(AR200/12*10*$F200*$G200*$I200*$L200*AS$9)</f>
        <v>0</v>
      </c>
      <c r="AT200" s="37"/>
      <c r="AU200" s="36">
        <f>SUM(AT200/12*2*$E200*$G200*$I200*$L200*$AI$9)+(AT200/12*10*$F200*$G200*$I200*$L200*$AI$9)</f>
        <v>0</v>
      </c>
      <c r="AV200" s="37"/>
      <c r="AW200" s="36">
        <f>SUM(AV200/12*2*$E200*$G200*$I200*$L200*AW$9)+(AV200/12*10*$F200*$G200*$I200*$L200*AW$9)</f>
        <v>0</v>
      </c>
      <c r="AX200" s="36">
        <v>8</v>
      </c>
      <c r="AY200" s="36">
        <f>SUM(AX200/12*2*$E200*$G200*$I200*$L200*AY$9)+(AX200/12*10*$F200*$G200*$I200*$L200*AY$9)</f>
        <v>138362.63466666665</v>
      </c>
      <c r="AZ200" s="37"/>
      <c r="BA200" s="36">
        <f>SUM(AZ200/12*2*$E200*$G200*$I200*$L200*BA$9)+(AZ200/12*10*$F200*$G200*$I200*$L200*BA$9)</f>
        <v>0</v>
      </c>
      <c r="BB200" s="36"/>
      <c r="BC200" s="36">
        <f>SUM(BB200/12*2*$E200*$G200*$I200*$L200*BC$9)+(BB200/12*10*$F200*$G200*$I200*$L200*BC$9)</f>
        <v>0</v>
      </c>
      <c r="BD200" s="36">
        <v>1</v>
      </c>
      <c r="BE200" s="36">
        <f>SUM(BD200/12*2*$E200*$G200*$I200*$L200*BE$9)+(BD200/12*10*$F200*$G200*$I200*$L200*BE$9)</f>
        <v>17295.329333333331</v>
      </c>
      <c r="BF200" s="37"/>
      <c r="BG200" s="39">
        <f>(BF200/12*2*$E200*$G200*$I200*$M200*BG$9)+(BF200/12*10*$F200*$G200*$I200*$M200*BG$9)</f>
        <v>0</v>
      </c>
      <c r="BH200" s="60"/>
      <c r="BI200" s="36">
        <f>(BH200/12*2*$E200*$G200*$I200*$M200*BI$9)+(BH200/12*10*$F200*$G200*$I200*$M200*BI$9)</f>
        <v>0</v>
      </c>
      <c r="BJ200" s="36">
        <v>20</v>
      </c>
      <c r="BK200" s="36">
        <f>(BJ200/12*2*$E200*$G200*$I200*$M200*BK$9)+(BJ200/12*10*$F200*$G200*$I200*$M200*BK$9)</f>
        <v>415087.90399999998</v>
      </c>
      <c r="BL200" s="37"/>
      <c r="BM200" s="36">
        <f>(BL200/12*2*$E200*$G200*$I200*$M200*BM$9)+(BL200/12*10*$F200*$G200*$I200*$M200*BM$9)</f>
        <v>0</v>
      </c>
      <c r="BN200" s="36"/>
      <c r="BO200" s="36">
        <f>(BN200/12*10*$F200*$G200*$I200*$M200*BO$9)</f>
        <v>0</v>
      </c>
      <c r="BP200" s="39"/>
      <c r="BQ200" s="36"/>
      <c r="BR200" s="58">
        <v>24</v>
      </c>
      <c r="BS200" s="36">
        <f>(BR200/12*10*$F200*$G200*$I200*$M200*BS$9)</f>
        <v>418411.39199999999</v>
      </c>
      <c r="BT200" s="37"/>
      <c r="BU200" s="36">
        <f>(BT200/12*2*$E200*$G200*$I200*$M200*BU$9)+(BT200/12*10*$F200*$G200*$I200*$M200*BU$9)</f>
        <v>0</v>
      </c>
      <c r="BV200" s="36"/>
      <c r="BW200" s="36">
        <f>(BV200/12*2*$E200*$G200*$I200*$M200*BW$9)+(BV200/12*10*$F200*$G200*$I200*$M200*BW$9)</f>
        <v>0</v>
      </c>
      <c r="BX200" s="37"/>
      <c r="BY200" s="36">
        <f>(BX200/12*2*$E200*$G200*$I200*$M200*BY$9)+(BX200/12*10*$F200*$G200*$I200*$M200*BY$9)</f>
        <v>0</v>
      </c>
      <c r="BZ200" s="37"/>
      <c r="CA200" s="36">
        <f>(BZ200/12*2*$E200*$G200*$I200*$M200*CA$9)+(BZ200/12*10*$F200*$G200*$I200*$M200*CA$9)</f>
        <v>0</v>
      </c>
      <c r="CB200" s="36"/>
      <c r="CC200" s="36">
        <f>(CB200/12*2*$E200*$G200*$I200*$M200*CC$9)+(CB200/12*10*$F200*$G200*$I200*$M200*CC$9)</f>
        <v>0</v>
      </c>
      <c r="CD200" s="37"/>
      <c r="CE200" s="36">
        <f>(CD200/12*2*$E200*$G200*$I200*$M200*CE$9)+(CD200/12*10*$F200*$G200*$I200*$M200*CE$9)</f>
        <v>0</v>
      </c>
      <c r="CF200" s="36"/>
      <c r="CG200" s="36">
        <f>(CF200/12*2*$E200*$G200*$I200*$N200*CG$9)+(CF200/12*10*$F200*$G200*$I200*$N200*CG$9)</f>
        <v>0</v>
      </c>
      <c r="CH200" s="37"/>
      <c r="CI200" s="36">
        <f>(CH200/12*2*$E200*$G200*$I200*$O200*$CI$9)+(CH200/12*10*$F200*$G200*$I200*$O200*$CI$9)</f>
        <v>0</v>
      </c>
      <c r="CJ200" s="36"/>
      <c r="CK200" s="36"/>
      <c r="CL200" s="36"/>
      <c r="CM200" s="36"/>
      <c r="CN200" s="41"/>
      <c r="CO200" s="41"/>
      <c r="CP200" s="42">
        <f>SUM(R200+P200+T200+V200+AB200+Z200+X200+AF200+AD200+AH200+AJ200+BF200+BJ200+AL200+AT200+AV200+BT200+BV200+BR200+BX200+BZ200+BN200+AN200+AP200+AR200+BH200+BL200+AX200+AZ200+BB200+BD200+BP200+CB200+CD200+CF200+CH200+CJ200+CL200)</f>
        <v>55</v>
      </c>
      <c r="CQ200" s="42">
        <f>SUM(S200+Q200+U200+W200+AC200+AA200+Y200+AG200+AE200+AI200+AK200+BG200+BK200+AM200+AU200+AW200+BU200+BW200+BS200+BY200+CA200+BO200+AO200+AQ200+AS200+BI200+BM200+AY200+BA200+BC200+BE200+BQ200+CC200+CE200+CG200+CI200+CK200+CM200)</f>
        <v>1023747.9186666666</v>
      </c>
    </row>
    <row r="201" spans="1:95" s="61" customFormat="1" ht="18.75" hidden="1" customHeight="1" x14ac:dyDescent="0.25">
      <c r="A201" s="140">
        <v>28</v>
      </c>
      <c r="B201" s="140"/>
      <c r="C201" s="149" t="s">
        <v>515</v>
      </c>
      <c r="D201" s="141" t="s">
        <v>516</v>
      </c>
      <c r="E201" s="110">
        <v>16026</v>
      </c>
      <c r="F201" s="134">
        <v>16828</v>
      </c>
      <c r="G201" s="138">
        <v>1.32</v>
      </c>
      <c r="H201" s="136"/>
      <c r="I201" s="128"/>
      <c r="J201" s="129"/>
      <c r="K201" s="29"/>
      <c r="L201" s="97">
        <v>1.4</v>
      </c>
      <c r="M201" s="97">
        <v>1.68</v>
      </c>
      <c r="N201" s="97">
        <v>2.23</v>
      </c>
      <c r="O201" s="97">
        <v>2.57</v>
      </c>
      <c r="P201" s="139">
        <f>P202</f>
        <v>0</v>
      </c>
      <c r="Q201" s="139">
        <f t="shared" ref="Q201:CB201" si="211">Q202</f>
        <v>0</v>
      </c>
      <c r="R201" s="139">
        <f t="shared" si="211"/>
        <v>0</v>
      </c>
      <c r="S201" s="139">
        <f t="shared" si="211"/>
        <v>0</v>
      </c>
      <c r="T201" s="139">
        <f t="shared" si="211"/>
        <v>0</v>
      </c>
      <c r="U201" s="139">
        <f t="shared" si="211"/>
        <v>0</v>
      </c>
      <c r="V201" s="139">
        <f t="shared" si="211"/>
        <v>0</v>
      </c>
      <c r="W201" s="139">
        <f t="shared" si="211"/>
        <v>0</v>
      </c>
      <c r="X201" s="139">
        <f t="shared" si="211"/>
        <v>0</v>
      </c>
      <c r="Y201" s="139">
        <f t="shared" si="211"/>
        <v>0</v>
      </c>
      <c r="Z201" s="139">
        <f t="shared" si="211"/>
        <v>0</v>
      </c>
      <c r="AA201" s="139">
        <f t="shared" si="211"/>
        <v>0</v>
      </c>
      <c r="AB201" s="139">
        <f t="shared" si="211"/>
        <v>0</v>
      </c>
      <c r="AC201" s="139">
        <f t="shared" si="211"/>
        <v>0</v>
      </c>
      <c r="AD201" s="139">
        <f t="shared" si="211"/>
        <v>0</v>
      </c>
      <c r="AE201" s="139">
        <f t="shared" si="211"/>
        <v>0</v>
      </c>
      <c r="AF201" s="139">
        <f t="shared" si="211"/>
        <v>0</v>
      </c>
      <c r="AG201" s="139">
        <f t="shared" si="211"/>
        <v>0</v>
      </c>
      <c r="AH201" s="139">
        <f>AH202</f>
        <v>0</v>
      </c>
      <c r="AI201" s="139">
        <f t="shared" si="211"/>
        <v>0</v>
      </c>
      <c r="AJ201" s="139">
        <v>0</v>
      </c>
      <c r="AK201" s="139">
        <v>0</v>
      </c>
      <c r="AL201" s="139">
        <f t="shared" si="211"/>
        <v>0</v>
      </c>
      <c r="AM201" s="139">
        <f t="shared" si="211"/>
        <v>0</v>
      </c>
      <c r="AN201" s="139">
        <f t="shared" si="211"/>
        <v>0</v>
      </c>
      <c r="AO201" s="139">
        <f t="shared" si="211"/>
        <v>0</v>
      </c>
      <c r="AP201" s="139">
        <f t="shared" si="211"/>
        <v>0</v>
      </c>
      <c r="AQ201" s="139">
        <f t="shared" si="211"/>
        <v>0</v>
      </c>
      <c r="AR201" s="139">
        <f t="shared" si="211"/>
        <v>0</v>
      </c>
      <c r="AS201" s="139">
        <f t="shared" si="211"/>
        <v>0</v>
      </c>
      <c r="AT201" s="139">
        <f t="shared" si="211"/>
        <v>0</v>
      </c>
      <c r="AU201" s="139">
        <f t="shared" si="211"/>
        <v>0</v>
      </c>
      <c r="AV201" s="139">
        <f t="shared" si="211"/>
        <v>0</v>
      </c>
      <c r="AW201" s="139">
        <f t="shared" si="211"/>
        <v>0</v>
      </c>
      <c r="AX201" s="139">
        <f t="shared" si="211"/>
        <v>0</v>
      </c>
      <c r="AY201" s="139">
        <f t="shared" si="211"/>
        <v>0</v>
      </c>
      <c r="AZ201" s="139">
        <f t="shared" si="211"/>
        <v>0</v>
      </c>
      <c r="BA201" s="139">
        <f t="shared" si="211"/>
        <v>0</v>
      </c>
      <c r="BB201" s="139">
        <f t="shared" si="211"/>
        <v>0</v>
      </c>
      <c r="BC201" s="139">
        <f t="shared" si="211"/>
        <v>0</v>
      </c>
      <c r="BD201" s="139">
        <f t="shared" si="211"/>
        <v>0</v>
      </c>
      <c r="BE201" s="139">
        <f t="shared" si="211"/>
        <v>0</v>
      </c>
      <c r="BF201" s="139">
        <f t="shared" si="211"/>
        <v>2</v>
      </c>
      <c r="BG201" s="139">
        <f t="shared" si="211"/>
        <v>74042.70719999999</v>
      </c>
      <c r="BH201" s="139">
        <f t="shared" si="211"/>
        <v>0</v>
      </c>
      <c r="BI201" s="139">
        <f t="shared" si="211"/>
        <v>0</v>
      </c>
      <c r="BJ201" s="139">
        <f t="shared" si="211"/>
        <v>0</v>
      </c>
      <c r="BK201" s="139">
        <f t="shared" si="211"/>
        <v>0</v>
      </c>
      <c r="BL201" s="139">
        <f t="shared" si="211"/>
        <v>0</v>
      </c>
      <c r="BM201" s="139">
        <f t="shared" si="211"/>
        <v>0</v>
      </c>
      <c r="BN201" s="139">
        <f t="shared" si="211"/>
        <v>0</v>
      </c>
      <c r="BO201" s="139">
        <f t="shared" si="211"/>
        <v>0</v>
      </c>
      <c r="BP201" s="139">
        <f t="shared" si="211"/>
        <v>0</v>
      </c>
      <c r="BQ201" s="139">
        <f t="shared" si="211"/>
        <v>0</v>
      </c>
      <c r="BR201" s="139">
        <f t="shared" si="211"/>
        <v>0</v>
      </c>
      <c r="BS201" s="139">
        <f t="shared" si="211"/>
        <v>0</v>
      </c>
      <c r="BT201" s="139">
        <f t="shared" si="211"/>
        <v>0</v>
      </c>
      <c r="BU201" s="139">
        <f t="shared" si="211"/>
        <v>0</v>
      </c>
      <c r="BV201" s="139">
        <f t="shared" si="211"/>
        <v>0</v>
      </c>
      <c r="BW201" s="139">
        <f t="shared" si="211"/>
        <v>0</v>
      </c>
      <c r="BX201" s="139">
        <f t="shared" si="211"/>
        <v>0</v>
      </c>
      <c r="BY201" s="139">
        <f t="shared" si="211"/>
        <v>0</v>
      </c>
      <c r="BZ201" s="139">
        <f t="shared" si="211"/>
        <v>0</v>
      </c>
      <c r="CA201" s="139">
        <f t="shared" si="211"/>
        <v>0</v>
      </c>
      <c r="CB201" s="139">
        <f t="shared" si="211"/>
        <v>0</v>
      </c>
      <c r="CC201" s="139">
        <f t="shared" ref="CC201:CQ201" si="212">CC202</f>
        <v>0</v>
      </c>
      <c r="CD201" s="139">
        <f t="shared" si="212"/>
        <v>0</v>
      </c>
      <c r="CE201" s="139">
        <f t="shared" si="212"/>
        <v>0</v>
      </c>
      <c r="CF201" s="139">
        <f t="shared" si="212"/>
        <v>0</v>
      </c>
      <c r="CG201" s="139">
        <f t="shared" si="212"/>
        <v>0</v>
      </c>
      <c r="CH201" s="139">
        <f t="shared" si="212"/>
        <v>0</v>
      </c>
      <c r="CI201" s="139">
        <f t="shared" si="212"/>
        <v>0</v>
      </c>
      <c r="CJ201" s="139">
        <f t="shared" si="212"/>
        <v>0</v>
      </c>
      <c r="CK201" s="139">
        <f t="shared" si="212"/>
        <v>0</v>
      </c>
      <c r="CL201" s="139">
        <f t="shared" si="212"/>
        <v>0</v>
      </c>
      <c r="CM201" s="139">
        <f t="shared" si="212"/>
        <v>0</v>
      </c>
      <c r="CN201" s="139">
        <f t="shared" si="212"/>
        <v>0</v>
      </c>
      <c r="CO201" s="139">
        <f t="shared" si="212"/>
        <v>0</v>
      </c>
      <c r="CP201" s="139">
        <f t="shared" si="212"/>
        <v>2</v>
      </c>
      <c r="CQ201" s="139">
        <f t="shared" si="212"/>
        <v>74042.70719999999</v>
      </c>
    </row>
    <row r="202" spans="1:95" s="3" customFormat="1" ht="30" hidden="1" customHeight="1" x14ac:dyDescent="0.25">
      <c r="A202" s="54"/>
      <c r="B202" s="54">
        <v>129</v>
      </c>
      <c r="C202" s="55" t="s">
        <v>517</v>
      </c>
      <c r="D202" s="120" t="s">
        <v>518</v>
      </c>
      <c r="E202" s="110">
        <v>16026</v>
      </c>
      <c r="F202" s="110">
        <v>16828</v>
      </c>
      <c r="G202" s="33">
        <v>1.32</v>
      </c>
      <c r="H202" s="34"/>
      <c r="I202" s="35">
        <v>1</v>
      </c>
      <c r="J202" s="111"/>
      <c r="K202" s="35"/>
      <c r="L202" s="97">
        <v>1.4</v>
      </c>
      <c r="M202" s="97">
        <v>1.68</v>
      </c>
      <c r="N202" s="97">
        <v>2.23</v>
      </c>
      <c r="O202" s="97">
        <v>2.57</v>
      </c>
      <c r="P202" s="36">
        <v>0</v>
      </c>
      <c r="Q202" s="36">
        <f>SUM(P202/12*2*$E202*$G202*$I202*$L202*$Q$9)+(P202/12*10*$F202*$G202*$I202*$L202*$Q$9)</f>
        <v>0</v>
      </c>
      <c r="R202" s="37">
        <v>0</v>
      </c>
      <c r="S202" s="36">
        <f>SUM(R202/12*2*$E202*$G202*$I202*$L202*S$9)+(R202/12*10*$F202*$G202*$I202*$L202*S$9)</f>
        <v>0</v>
      </c>
      <c r="T202" s="36">
        <v>0</v>
      </c>
      <c r="U202" s="36">
        <f>SUM(T202/12*2*$E202*$G202*$I202*$L202*U$9)+(T202/12*10*$F202*$G202*$I202*$L202*U$9)</f>
        <v>0</v>
      </c>
      <c r="V202" s="37">
        <v>0</v>
      </c>
      <c r="W202" s="36">
        <f>SUM(V202/12*2*$E202*$G202*$I202*$L202*$W$9)+(V202/12*10*$F202*$G202*$I202*$L202*$W$9)</f>
        <v>0</v>
      </c>
      <c r="X202" s="37">
        <v>0</v>
      </c>
      <c r="Y202" s="38">
        <f>SUM(X202/12*2*$E202*$G202*$I202*$L202*Y$9)+(X202/12*10*$F202*$G202*$I202*$L202*Y$9)</f>
        <v>0</v>
      </c>
      <c r="Z202" s="37"/>
      <c r="AA202" s="36"/>
      <c r="AB202" s="37"/>
      <c r="AC202" s="36">
        <f>(AB202/12*2*$E202*$G202*$I202*$L202)+(AB202/12*10*$F202*$G202*$I202*$L202)</f>
        <v>0</v>
      </c>
      <c r="AD202" s="37">
        <v>0</v>
      </c>
      <c r="AE202" s="36">
        <f>(AD202/12*2*$E202*$G202*$I202*$L202*AE$9)+(AD202/12*10*$F202*$G202*$I202*$L202*AE$9)</f>
        <v>0</v>
      </c>
      <c r="AF202" s="37">
        <v>0</v>
      </c>
      <c r="AG202" s="36">
        <f>(AF202/12*2*$E202*$G202*$I202*$M202*AG$9)+(AF202/12*10*$F202*$G202*$I202*$M202*AG$9)</f>
        <v>0</v>
      </c>
      <c r="AH202" s="37">
        <v>0</v>
      </c>
      <c r="AI202" s="36">
        <f>(AH202/12*2*$E202*$G202*$I202*$M202*$AI$9)+(AH202/12*10*$F202*$G202*$I202*$M202*$AI$9)</f>
        <v>0</v>
      </c>
      <c r="AJ202" s="36">
        <v>0</v>
      </c>
      <c r="AK202" s="36">
        <v>0</v>
      </c>
      <c r="AL202" s="37"/>
      <c r="AM202" s="36">
        <f>SUM(AL202/12*2*$E202*$G202*$I202*$L202*AM$9)+(AL202/12*10*$F202*$G202*$I202*$L202*AM$9)</f>
        <v>0</v>
      </c>
      <c r="AN202" s="37">
        <v>0</v>
      </c>
      <c r="AO202" s="36">
        <f>SUM(AN202/12*2*$E202*$G202*$I202*$L202*$AE$9)+(AN202/12*10*$F202*$G202*$I202*$L202*$AE$9)</f>
        <v>0</v>
      </c>
      <c r="AP202" s="37"/>
      <c r="AQ202" s="36"/>
      <c r="AR202" s="37"/>
      <c r="AS202" s="36">
        <f>SUM(AR202/12*2*$E202*$G202*$I202*$L202*AS$9)+(AR202/12*10*$F202*$G202*$I202*$L202*AS$9)</f>
        <v>0</v>
      </c>
      <c r="AT202" s="37">
        <v>0</v>
      </c>
      <c r="AU202" s="36">
        <f>SUM(AT202/12*2*$E202*$G202*$I202*$L202*$AI$9)+(AT202/12*10*$F202*$G202*$I202*$L202*$AI$9)</f>
        <v>0</v>
      </c>
      <c r="AV202" s="37">
        <v>0</v>
      </c>
      <c r="AW202" s="36">
        <f>SUM(AV202/12*2*$E202*$G202*$I202*$L202*AW$9)+(AV202/12*10*$F202*$G202*$I202*$L202*AW$9)</f>
        <v>0</v>
      </c>
      <c r="AX202" s="37">
        <v>0</v>
      </c>
      <c r="AY202" s="36">
        <f>SUM(AX202/12*2*$E202*$G202*$I202*$L202*AY$9)+(AX202/12*10*$F202*$G202*$I202*$L202*AY$9)</f>
        <v>0</v>
      </c>
      <c r="AZ202" s="37">
        <v>0</v>
      </c>
      <c r="BA202" s="36">
        <f>SUM(AZ202/12*2*$E202*$G202*$I202*$L202*BA$9)+(AZ202/12*10*$F202*$G202*$I202*$L202*BA$9)</f>
        <v>0</v>
      </c>
      <c r="BB202" s="37">
        <v>0</v>
      </c>
      <c r="BC202" s="36">
        <f>SUM(BB202/12*2*$E202*$G202*$I202*$L202*BC$9)+(BB202/12*10*$F202*$G202*$I202*$L202*BC$9)</f>
        <v>0</v>
      </c>
      <c r="BD202" s="36"/>
      <c r="BE202" s="36">
        <f>SUM(BD202/12*2*$E202*$G202*$I202*$L202*BE$9)+(BD202/12*10*$F202*$G202*$I202*$L202*BE$9)</f>
        <v>0</v>
      </c>
      <c r="BF202" s="37">
        <v>2</v>
      </c>
      <c r="BG202" s="39">
        <f>(BF202/12*2*$E202*$G202*$I202*$M202*BG$9)+(BF202/12*10*$F202*$G202*$I202*$M202*BG$9)</f>
        <v>74042.70719999999</v>
      </c>
      <c r="BH202" s="60">
        <v>0</v>
      </c>
      <c r="BI202" s="36">
        <f>(BH202/12*2*$E202*$G202*$I202*$M202*BI$9)+(BH202/12*10*$F202*$G202*$I202*$M202*BI$9)</f>
        <v>0</v>
      </c>
      <c r="BJ202" s="37">
        <v>0</v>
      </c>
      <c r="BK202" s="36">
        <f>(BJ202/12*2*$E202*$G202*$I202*$M202*BK$9)+(BJ202/12*10*$F202*$G202*$I202*$M202*BK$9)</f>
        <v>0</v>
      </c>
      <c r="BL202" s="37">
        <v>0</v>
      </c>
      <c r="BM202" s="36">
        <f>(BL202/12*2*$E202*$G202*$I202*$M202*BM$9)+(BL202/12*10*$F202*$G202*$I202*$M202*BM$9)</f>
        <v>0</v>
      </c>
      <c r="BN202" s="37">
        <v>0</v>
      </c>
      <c r="BO202" s="36">
        <f>(BN202/12*10*$F202*$G202*$I202*$M202*BO$9)</f>
        <v>0</v>
      </c>
      <c r="BP202" s="39"/>
      <c r="BQ202" s="36"/>
      <c r="BR202" s="37">
        <v>0</v>
      </c>
      <c r="BS202" s="36">
        <f>(BR202/12*10*$F202*$G202*$I202*$M202*BS$9)</f>
        <v>0</v>
      </c>
      <c r="BT202" s="37">
        <v>0</v>
      </c>
      <c r="BU202" s="36">
        <f>(BT202/12*2*$E202*$G202*$I202*$M202*BU$9)+(BT202/12*10*$F202*$G202*$I202*$M202*BU$9)</f>
        <v>0</v>
      </c>
      <c r="BV202" s="36">
        <v>0</v>
      </c>
      <c r="BW202" s="36">
        <f>(BV202/12*2*$E202*$G202*$I202*$M202*BW$9)+(BV202/12*10*$F202*$G202*$I202*$M202*BW$9)</f>
        <v>0</v>
      </c>
      <c r="BX202" s="37">
        <v>0</v>
      </c>
      <c r="BY202" s="36">
        <f>(BX202/12*2*$E202*$G202*$I202*$M202*BY$9)+(BX202/12*10*$F202*$G202*$I202*$M202*BY$9)</f>
        <v>0</v>
      </c>
      <c r="BZ202" s="37"/>
      <c r="CA202" s="36">
        <f>(BZ202/12*2*$E202*$G202*$I202*$M202*CA$9)+(BZ202/12*10*$F202*$G202*$I202*$M202*CA$9)</f>
        <v>0</v>
      </c>
      <c r="CB202" s="37"/>
      <c r="CC202" s="36">
        <f>(CB202/12*2*$E202*$G202*$I202*$M202*CC$9)+(CB202/12*10*$F202*$G202*$I202*$M202*CC$9)</f>
        <v>0</v>
      </c>
      <c r="CD202" s="37">
        <v>0</v>
      </c>
      <c r="CE202" s="36">
        <f>(CD202/12*2*$E202*$G202*$I202*$M202*CE$9)+(CD202/12*10*$F202*$G202*$I202*$M202*CE$9)</f>
        <v>0</v>
      </c>
      <c r="CF202" s="36">
        <v>0</v>
      </c>
      <c r="CG202" s="36">
        <f>(CF202/12*2*$E202*$G202*$I202*$N202*CG$9)+(CF202/12*10*$F202*$G202*$I202*$N202*CG$9)</f>
        <v>0</v>
      </c>
      <c r="CH202" s="37">
        <v>0</v>
      </c>
      <c r="CI202" s="36">
        <f>(CH202/12*2*$E202*$G202*$I202*$O202*$CI$9)+(CH202/12*10*$F202*$G202*$I202*$O202*$CI$9)</f>
        <v>0</v>
      </c>
      <c r="CJ202" s="36"/>
      <c r="CK202" s="36"/>
      <c r="CL202" s="36"/>
      <c r="CM202" s="36"/>
      <c r="CN202" s="41"/>
      <c r="CO202" s="41"/>
      <c r="CP202" s="42">
        <f>SUM(R202+P202+T202+V202+AB202+Z202+X202+AF202+AD202+AH202+AJ202+BF202+BJ202+AL202+AT202+AV202+BT202+BV202+BR202+BX202+BZ202+BN202+AN202+AP202+AR202+BH202+BL202+AX202+AZ202+BB202+BD202+BP202+CB202+CD202+CF202+CH202+CJ202+CL202)</f>
        <v>2</v>
      </c>
      <c r="CQ202" s="42">
        <f>SUM(S202+Q202+U202+W202+AC202+AA202+Y202+AG202+AE202+AI202+AK202+BG202+BK202+AM202+AU202+AW202+BU202+BW202+BS202+BY202+CA202+BO202+AO202+AQ202+AS202+BI202+BM202+AY202+BA202+BC202+BE202+BQ202+CC202+CE202+CG202+CI202+CK202+CM202)</f>
        <v>74042.70719999999</v>
      </c>
    </row>
    <row r="203" spans="1:95" ht="18.75" hidden="1" customHeight="1" x14ac:dyDescent="0.25">
      <c r="A203" s="124">
        <v>29</v>
      </c>
      <c r="B203" s="124"/>
      <c r="C203" s="149" t="s">
        <v>519</v>
      </c>
      <c r="D203" s="141" t="s">
        <v>520</v>
      </c>
      <c r="E203" s="110">
        <v>16026</v>
      </c>
      <c r="F203" s="134">
        <v>16828</v>
      </c>
      <c r="G203" s="138">
        <v>1.25</v>
      </c>
      <c r="H203" s="136"/>
      <c r="I203" s="128"/>
      <c r="J203" s="129"/>
      <c r="K203" s="29"/>
      <c r="L203" s="97">
        <v>1.4</v>
      </c>
      <c r="M203" s="97">
        <v>1.68</v>
      </c>
      <c r="N203" s="97">
        <v>2.23</v>
      </c>
      <c r="O203" s="97">
        <v>2.57</v>
      </c>
      <c r="P203" s="139">
        <f>SUM(P204:P207)</f>
        <v>34</v>
      </c>
      <c r="Q203" s="139">
        <f t="shared" ref="Q203:BH203" si="213">SUM(Q204:Q207)</f>
        <v>764294.16</v>
      </c>
      <c r="R203" s="139">
        <f t="shared" si="213"/>
        <v>66</v>
      </c>
      <c r="S203" s="139">
        <f t="shared" si="213"/>
        <v>2700918.08</v>
      </c>
      <c r="T203" s="139">
        <f t="shared" si="213"/>
        <v>187</v>
      </c>
      <c r="U203" s="139">
        <f t="shared" si="213"/>
        <v>5374489.4699999997</v>
      </c>
      <c r="V203" s="139">
        <f t="shared" si="213"/>
        <v>1</v>
      </c>
      <c r="W203" s="139">
        <f t="shared" si="213"/>
        <v>22263.444</v>
      </c>
      <c r="X203" s="139">
        <f t="shared" si="213"/>
        <v>0</v>
      </c>
      <c r="Y203" s="139">
        <f t="shared" si="213"/>
        <v>0</v>
      </c>
      <c r="Z203" s="139">
        <f t="shared" si="213"/>
        <v>0</v>
      </c>
      <c r="AA203" s="139">
        <f t="shared" si="213"/>
        <v>0</v>
      </c>
      <c r="AB203" s="139">
        <f t="shared" si="213"/>
        <v>0</v>
      </c>
      <c r="AC203" s="139">
        <f t="shared" si="213"/>
        <v>0</v>
      </c>
      <c r="AD203" s="139">
        <f t="shared" si="213"/>
        <v>5</v>
      </c>
      <c r="AE203" s="139">
        <f t="shared" si="213"/>
        <v>112396.20000000001</v>
      </c>
      <c r="AF203" s="139">
        <f t="shared" si="213"/>
        <v>0</v>
      </c>
      <c r="AG203" s="139">
        <f t="shared" si="213"/>
        <v>0</v>
      </c>
      <c r="AH203" s="139">
        <f>SUM(AH204:AH207)</f>
        <v>11</v>
      </c>
      <c r="AI203" s="139">
        <f t="shared" si="213"/>
        <v>310137.8112</v>
      </c>
      <c r="AJ203" s="139">
        <v>36</v>
      </c>
      <c r="AK203" s="139">
        <v>984710.76</v>
      </c>
      <c r="AL203" s="139">
        <f t="shared" si="213"/>
        <v>0</v>
      </c>
      <c r="AM203" s="139">
        <f t="shared" si="213"/>
        <v>0</v>
      </c>
      <c r="AN203" s="139">
        <f t="shared" si="213"/>
        <v>0</v>
      </c>
      <c r="AO203" s="139">
        <f t="shared" si="213"/>
        <v>0</v>
      </c>
      <c r="AP203" s="139">
        <f t="shared" si="213"/>
        <v>0</v>
      </c>
      <c r="AQ203" s="139">
        <f t="shared" si="213"/>
        <v>0</v>
      </c>
      <c r="AR203" s="139">
        <f t="shared" si="213"/>
        <v>0</v>
      </c>
      <c r="AS203" s="139">
        <f t="shared" si="213"/>
        <v>0</v>
      </c>
      <c r="AT203" s="139">
        <f t="shared" si="213"/>
        <v>0</v>
      </c>
      <c r="AU203" s="139">
        <f t="shared" si="213"/>
        <v>0</v>
      </c>
      <c r="AV203" s="139">
        <f t="shared" si="213"/>
        <v>55</v>
      </c>
      <c r="AW203" s="139">
        <f t="shared" si="213"/>
        <v>1236358.2</v>
      </c>
      <c r="AX203" s="139">
        <f t="shared" si="213"/>
        <v>5</v>
      </c>
      <c r="AY203" s="139">
        <f t="shared" si="213"/>
        <v>112396.20000000001</v>
      </c>
      <c r="AZ203" s="139">
        <f t="shared" si="213"/>
        <v>0</v>
      </c>
      <c r="BA203" s="139">
        <f>SUM(BA204:BA207)</f>
        <v>0</v>
      </c>
      <c r="BB203" s="139">
        <f t="shared" si="213"/>
        <v>0</v>
      </c>
      <c r="BC203" s="139">
        <f>SUM(BC204:BC207)</f>
        <v>0</v>
      </c>
      <c r="BD203" s="139">
        <f t="shared" si="213"/>
        <v>41</v>
      </c>
      <c r="BE203" s="139">
        <f t="shared" si="213"/>
        <v>999884.59200000006</v>
      </c>
      <c r="BF203" s="139">
        <f t="shared" si="213"/>
        <v>46</v>
      </c>
      <c r="BG203" s="139">
        <f t="shared" si="213"/>
        <v>1321325.1072</v>
      </c>
      <c r="BH203" s="139">
        <f t="shared" si="213"/>
        <v>0</v>
      </c>
      <c r="BI203" s="139">
        <f>SUM(BI204:BI207)</f>
        <v>0</v>
      </c>
      <c r="BJ203" s="139">
        <f t="shared" ref="BJ203:BT203" si="214">SUM(BJ204:BJ207)</f>
        <v>139</v>
      </c>
      <c r="BK203" s="139">
        <f t="shared" si="214"/>
        <v>3905301.9208000004</v>
      </c>
      <c r="BL203" s="139">
        <f t="shared" si="214"/>
        <v>0</v>
      </c>
      <c r="BM203" s="139">
        <f t="shared" si="214"/>
        <v>0</v>
      </c>
      <c r="BN203" s="139">
        <f t="shared" si="214"/>
        <v>73</v>
      </c>
      <c r="BO203" s="139">
        <f>SUM(BO204:BO207)</f>
        <v>1660216.8239999998</v>
      </c>
      <c r="BP203" s="139">
        <f t="shared" si="214"/>
        <v>0</v>
      </c>
      <c r="BQ203" s="139">
        <f>SUM(BQ204:BQ207)</f>
        <v>0</v>
      </c>
      <c r="BR203" s="139">
        <f t="shared" si="214"/>
        <v>40</v>
      </c>
      <c r="BS203" s="139">
        <f>SUM(BS204:BS207)</f>
        <v>1357009.9199999999</v>
      </c>
      <c r="BT203" s="139">
        <f t="shared" si="214"/>
        <v>0</v>
      </c>
      <c r="BU203" s="139">
        <f>SUM(BU204:BU207)</f>
        <v>0</v>
      </c>
      <c r="BV203" s="139">
        <f t="shared" ref="BV203:CQ203" si="215">SUM(BV204:BV207)</f>
        <v>32</v>
      </c>
      <c r="BW203" s="139">
        <f t="shared" si="215"/>
        <v>890026.50239999988</v>
      </c>
      <c r="BX203" s="139">
        <f t="shared" si="215"/>
        <v>10</v>
      </c>
      <c r="BY203" s="139">
        <f t="shared" si="215"/>
        <v>269750.88</v>
      </c>
      <c r="BZ203" s="139">
        <f t="shared" si="215"/>
        <v>8</v>
      </c>
      <c r="CA203" s="139">
        <f t="shared" si="215"/>
        <v>215800.704</v>
      </c>
      <c r="CB203" s="139">
        <f t="shared" si="215"/>
        <v>3</v>
      </c>
      <c r="CC203" s="139">
        <f t="shared" si="215"/>
        <v>28269.86</v>
      </c>
      <c r="CD203" s="139">
        <f t="shared" si="215"/>
        <v>8</v>
      </c>
      <c r="CE203" s="139">
        <f t="shared" si="215"/>
        <v>215800.704</v>
      </c>
      <c r="CF203" s="139">
        <f t="shared" si="215"/>
        <v>40</v>
      </c>
      <c r="CG203" s="139">
        <f t="shared" si="215"/>
        <v>1432248.7200000002</v>
      </c>
      <c r="CH203" s="139">
        <f t="shared" si="215"/>
        <v>45</v>
      </c>
      <c r="CI203" s="139">
        <f t="shared" si="215"/>
        <v>1856945.79</v>
      </c>
      <c r="CJ203" s="139">
        <f t="shared" si="215"/>
        <v>0</v>
      </c>
      <c r="CK203" s="139">
        <f t="shared" si="215"/>
        <v>0</v>
      </c>
      <c r="CL203" s="139">
        <f t="shared" si="215"/>
        <v>0</v>
      </c>
      <c r="CM203" s="139">
        <f t="shared" si="215"/>
        <v>0</v>
      </c>
      <c r="CN203" s="139">
        <f t="shared" si="215"/>
        <v>0</v>
      </c>
      <c r="CO203" s="139">
        <f t="shared" si="215"/>
        <v>0</v>
      </c>
      <c r="CP203" s="139">
        <f t="shared" si="215"/>
        <v>885</v>
      </c>
      <c r="CQ203" s="139">
        <f t="shared" si="215"/>
        <v>25770545.849600002</v>
      </c>
    </row>
    <row r="204" spans="1:95" s="3" customFormat="1" ht="30" hidden="1" customHeight="1" x14ac:dyDescent="0.25">
      <c r="A204" s="54"/>
      <c r="B204" s="54">
        <v>130</v>
      </c>
      <c r="C204" s="55" t="s">
        <v>521</v>
      </c>
      <c r="D204" s="120" t="s">
        <v>522</v>
      </c>
      <c r="E204" s="110">
        <v>16026</v>
      </c>
      <c r="F204" s="110">
        <v>16828</v>
      </c>
      <c r="G204" s="33">
        <v>1.44</v>
      </c>
      <c r="H204" s="34"/>
      <c r="I204" s="35">
        <v>1</v>
      </c>
      <c r="J204" s="111"/>
      <c r="K204" s="35"/>
      <c r="L204" s="97">
        <v>1.4</v>
      </c>
      <c r="M204" s="97">
        <v>1.68</v>
      </c>
      <c r="N204" s="97">
        <v>2.23</v>
      </c>
      <c r="O204" s="97">
        <v>2.57</v>
      </c>
      <c r="P204" s="36">
        <v>0</v>
      </c>
      <c r="Q204" s="36">
        <f>SUM(P204/12*2*$E204*$G204*$I204*$L204*$Q$9)+(P204/12*10*$F204*$G204*$I204*$L204*$Q$9)</f>
        <v>0</v>
      </c>
      <c r="R204" s="36">
        <f>25+20</f>
        <v>45</v>
      </c>
      <c r="S204" s="36">
        <f>SUM(R204/12*2*$E204*$G204*$I204*$L204*S$9)+(R204/12*10*$F204*$G204*$I204*$L204*S$9)</f>
        <v>1514509.9199999997</v>
      </c>
      <c r="T204" s="36">
        <v>76</v>
      </c>
      <c r="U204" s="36">
        <f>SUM(T204/12*2*$E204*$G204*$I204*$L204*U$9)+(T204/12*10*$F204*$G204*$I204*$L204*U$9)</f>
        <v>2557838.9759999998</v>
      </c>
      <c r="V204" s="37">
        <v>0</v>
      </c>
      <c r="W204" s="36">
        <f>SUM(V204/12*2*$E204*$G204*$I204*$L204*$W$9)+(V204/12*10*$F204*$G204*$I204*$L204*$W$9)</f>
        <v>0</v>
      </c>
      <c r="X204" s="37">
        <v>0</v>
      </c>
      <c r="Y204" s="38">
        <f>SUM(X204/12*2*$E204*$G204*$I204*$L204*Y$9)+(X204/12*10*$F204*$G204*$I204*$L204*Y$9)</f>
        <v>0</v>
      </c>
      <c r="Z204" s="37"/>
      <c r="AA204" s="36"/>
      <c r="AB204" s="37">
        <v>0</v>
      </c>
      <c r="AC204" s="36">
        <f>(AB204/12*2*$E204*$G204*$I204*$L204)+(AB204/12*10*$F204*$G204*$I204*$L204)</f>
        <v>0</v>
      </c>
      <c r="AD204" s="37">
        <v>0</v>
      </c>
      <c r="AE204" s="36">
        <f>(AD204/12*2*$E204*$G204*$I204*$L204*AE$9)+(AD204/12*10*$F204*$G204*$I204*$L204*AE$9)</f>
        <v>0</v>
      </c>
      <c r="AF204" s="37">
        <v>0</v>
      </c>
      <c r="AG204" s="36">
        <f>(AF204/12*2*$E204*$G204*$I204*$M204*AG$9)+(AF204/12*10*$F204*$G204*$I204*$M204*AG$9)</f>
        <v>0</v>
      </c>
      <c r="AH204" s="69">
        <v>1</v>
      </c>
      <c r="AI204" s="36">
        <f>(AH204/12*2*$E204*$G204*$I204*$M204*$AI$9)+(AH204/12*10*$F204*$G204*$I204*$M204*$AI$9)</f>
        <v>40386.931199999999</v>
      </c>
      <c r="AJ204" s="36">
        <v>1</v>
      </c>
      <c r="AK204" s="36">
        <v>38770.1</v>
      </c>
      <c r="AL204" s="37"/>
      <c r="AM204" s="36">
        <f>SUM(AL204/12*2*$E204*$G204*$I204*$L204*AM$9)+(AL204/12*10*$F204*$G204*$I204*$L204*AM$9)</f>
        <v>0</v>
      </c>
      <c r="AN204" s="37">
        <v>0</v>
      </c>
      <c r="AO204" s="36">
        <f>SUM(AN204/12*2*$E204*$G204*$I204*$L204*$AE$9)+(AN204/12*10*$F204*$G204*$I204*$L204*$AE$9)</f>
        <v>0</v>
      </c>
      <c r="AP204" s="37"/>
      <c r="AQ204" s="36"/>
      <c r="AR204" s="37"/>
      <c r="AS204" s="36">
        <f>SUM(AR204/12*2*$E204*$G204*$I204*$L204*AS$9)+(AR204/12*10*$F204*$G204*$I204*$L204*AS$9)</f>
        <v>0</v>
      </c>
      <c r="AT204" s="37">
        <v>0</v>
      </c>
      <c r="AU204" s="36">
        <f>SUM(AT204/12*2*$E204*$G204*$I204*$L204*$AI$9)+(AT204/12*10*$F204*$G204*$I204*$L204*$AI$9)</f>
        <v>0</v>
      </c>
      <c r="AV204" s="37"/>
      <c r="AW204" s="36">
        <f>SUM(AV204/12*2*$E204*$G204*$I204*$L204*AW$9)+(AV204/12*10*$F204*$G204*$I204*$L204*AW$9)</f>
        <v>0</v>
      </c>
      <c r="AX204" s="37">
        <v>0</v>
      </c>
      <c r="AY204" s="36">
        <f>SUM(AX204/12*2*$E204*$G204*$I204*$L204*AY$9)+(AX204/12*10*$F204*$G204*$I204*$L204*AY$9)</f>
        <v>0</v>
      </c>
      <c r="AZ204" s="37">
        <v>0</v>
      </c>
      <c r="BA204" s="36">
        <f>SUM(AZ204/12*2*$E204*$G204*$I204*$L204*BA$9)+(AZ204/12*10*$F204*$G204*$I204*$L204*BA$9)</f>
        <v>0</v>
      </c>
      <c r="BB204" s="37"/>
      <c r="BC204" s="36">
        <f>SUM(BB204/12*2*$E204*$G204*$I204*$L204*BC$9)+(BB204/12*10*$F204*$G204*$I204*$L204*BC$9)</f>
        <v>0</v>
      </c>
      <c r="BD204" s="36">
        <v>7</v>
      </c>
      <c r="BE204" s="36">
        <f>SUM(BD204/12*2*$E204*$G204*$I204*$L204*BE$9)+(BD204/12*10*$F204*$G204*$I204*$L204*BE$9)</f>
        <v>235590.432</v>
      </c>
      <c r="BF204" s="37">
        <v>6</v>
      </c>
      <c r="BG204" s="39">
        <f>(BF204/12*2*$E204*$G204*$I204*$M204*BG$9)+(BF204/12*10*$F204*$G204*$I204*$M204*BG$9)</f>
        <v>242321.58719999998</v>
      </c>
      <c r="BH204" s="60">
        <v>0</v>
      </c>
      <c r="BI204" s="36">
        <f>(BH204/12*2*$E204*$G204*$I204*$M204*BI$9)+(BH204/12*10*$F204*$G204*$I204*$M204*BI$9)</f>
        <v>0</v>
      </c>
      <c r="BJ204" s="36">
        <v>4</v>
      </c>
      <c r="BK204" s="36">
        <f>(BJ204/12*2*$E204*$G204*$I204*$M204*BK$9)+(BJ204/12*10*$F204*$G204*$I204*$M204*BK$9)</f>
        <v>161547.7248</v>
      </c>
      <c r="BL204" s="37">
        <v>0</v>
      </c>
      <c r="BM204" s="36">
        <f>(BL204/12*2*$E204*$G204*$I204*$M204*BM$9)+(BL204/12*10*$F204*$G204*$I204*$M204*BM$9)</f>
        <v>0</v>
      </c>
      <c r="BN204" s="36">
        <v>3</v>
      </c>
      <c r="BO204" s="36">
        <f>(BN204/12*10*$F204*$G204*$I204*$M204*BO$9)</f>
        <v>101775.74399999999</v>
      </c>
      <c r="BP204" s="39"/>
      <c r="BQ204" s="36"/>
      <c r="BR204" s="36">
        <v>40</v>
      </c>
      <c r="BS204" s="36">
        <f>(BR204/12*10*$F204*$G204*$I204*$M204*BS$9)</f>
        <v>1357009.9199999999</v>
      </c>
      <c r="BT204" s="37">
        <v>0</v>
      </c>
      <c r="BU204" s="36">
        <f>(BT204/12*2*$E204*$G204*$I204*$M204*BU$9)+(BT204/12*10*$F204*$G204*$I204*$M204*BU$9)</f>
        <v>0</v>
      </c>
      <c r="BV204" s="36">
        <v>2</v>
      </c>
      <c r="BW204" s="36">
        <f>(BV204/12*2*$E204*$G204*$I204*$M204*BW$9)+(BV204/12*10*$F204*$G204*$I204*$M204*BW$9)</f>
        <v>80773.862399999998</v>
      </c>
      <c r="BX204" s="37">
        <v>0</v>
      </c>
      <c r="BY204" s="36">
        <f>(BX204/12*2*$E204*$G204*$I204*$M204*BY$9)+(BX204/12*10*$F204*$G204*$I204*$M204*BY$9)</f>
        <v>0</v>
      </c>
      <c r="BZ204" s="37"/>
      <c r="CA204" s="36">
        <f>(BZ204/12*2*$E204*$G204*$I204*$M204*CA$9)+(BZ204/12*10*$F204*$G204*$I204*$M204*CA$9)</f>
        <v>0</v>
      </c>
      <c r="CB204" s="37"/>
      <c r="CC204" s="36">
        <f>(CB204/12*2*$E204*$G204*$I204*$M204*CC$9)+(CB204/12*10*$F204*$G204*$I204*$M204*CC$9)</f>
        <v>0</v>
      </c>
      <c r="CD204" s="37">
        <v>0</v>
      </c>
      <c r="CE204" s="36">
        <f>(CD204/12*2*$E204*$G204*$I204*$M204*CE$9)+(CD204/12*10*$F204*$G204*$I204*$M204*CE$9)</f>
        <v>0</v>
      </c>
      <c r="CF204" s="36">
        <v>0</v>
      </c>
      <c r="CG204" s="36">
        <f>(CF204/12*2*$E204*$G204*$I204*$N204*CG$9)+(CF204/12*10*$F204*$G204*$I204*$N204*CG$9)</f>
        <v>0</v>
      </c>
      <c r="CH204" s="37"/>
      <c r="CI204" s="36">
        <f>(CH204/12*2*$E204*$G204*$I204*$O204*$CI$9)+(CH204/12*10*$F204*$G204*$I204*$O204*$CI$9)</f>
        <v>0</v>
      </c>
      <c r="CJ204" s="36"/>
      <c r="CK204" s="36"/>
      <c r="CL204" s="36"/>
      <c r="CM204" s="36"/>
      <c r="CN204" s="41"/>
      <c r="CO204" s="41"/>
      <c r="CP204" s="42">
        <f t="shared" ref="CP204:CQ207" si="216">SUM(R204+P204+T204+V204+AB204+Z204+X204+AF204+AD204+AH204+AJ204+BF204+BJ204+AL204+AT204+AV204+BT204+BV204+BR204+BX204+BZ204+BN204+AN204+AP204+AR204+BH204+BL204+AX204+AZ204+BB204+BD204+BP204+CB204+CD204+CF204+CH204+CJ204+CL204)</f>
        <v>185</v>
      </c>
      <c r="CQ204" s="42">
        <f t="shared" si="216"/>
        <v>6330525.1975999996</v>
      </c>
    </row>
    <row r="205" spans="1:95" s="3" customFormat="1" ht="30" hidden="1" customHeight="1" x14ac:dyDescent="0.25">
      <c r="A205" s="54"/>
      <c r="B205" s="54">
        <v>131</v>
      </c>
      <c r="C205" s="55" t="s">
        <v>523</v>
      </c>
      <c r="D205" s="120" t="s">
        <v>524</v>
      </c>
      <c r="E205" s="110">
        <v>16026</v>
      </c>
      <c r="F205" s="110">
        <v>16828</v>
      </c>
      <c r="G205" s="33">
        <v>1.69</v>
      </c>
      <c r="H205" s="34"/>
      <c r="I205" s="35">
        <v>1</v>
      </c>
      <c r="J205" s="111"/>
      <c r="K205" s="35"/>
      <c r="L205" s="97">
        <v>1.4</v>
      </c>
      <c r="M205" s="97">
        <v>1.68</v>
      </c>
      <c r="N205" s="97">
        <v>2.23</v>
      </c>
      <c r="O205" s="97">
        <v>2.57</v>
      </c>
      <c r="P205" s="36">
        <v>0</v>
      </c>
      <c r="Q205" s="36">
        <f>SUM(P205/12*2*$E205*$G205*$I205*$L205*$Q$9)+(P205/12*10*$F205*$G205*$I205*$L205*$Q$9)</f>
        <v>0</v>
      </c>
      <c r="R205" s="36"/>
      <c r="S205" s="36">
        <f>SUM(R205/12*2*$E205*$G205*$I205*$L205*S$9)+(R205/12*10*$F205*$G205*$I205*$L205*S$9)</f>
        <v>0</v>
      </c>
      <c r="T205" s="36">
        <v>0</v>
      </c>
      <c r="U205" s="36">
        <f>SUM(T205/12*2*$E205*$G205*$I205*$L205*U$9)+(T205/12*10*$F205*$G205*$I205*$L205*U$9)</f>
        <v>0</v>
      </c>
      <c r="V205" s="37">
        <v>0</v>
      </c>
      <c r="W205" s="36">
        <f>SUM(V205/12*2*$E205*$G205*$I205*$L205*$W$9)+(V205/12*10*$F205*$G205*$I205*$L205*$W$9)</f>
        <v>0</v>
      </c>
      <c r="X205" s="37">
        <v>0</v>
      </c>
      <c r="Y205" s="38">
        <f>SUM(X205/12*2*$E205*$G205*$I205*$L205*Y$9)+(X205/12*10*$F205*$G205*$I205*$L205*Y$9)</f>
        <v>0</v>
      </c>
      <c r="Z205" s="37"/>
      <c r="AA205" s="36"/>
      <c r="AB205" s="37">
        <v>0</v>
      </c>
      <c r="AC205" s="36">
        <f>(AB205/12*2*$E205*$G205*$I205*$L205)+(AB205/12*10*$F205*$G205*$I205*$L205)</f>
        <v>0</v>
      </c>
      <c r="AD205" s="37">
        <v>0</v>
      </c>
      <c r="AE205" s="36">
        <f>(AD205/12*2*$E205*$G205*$I205*$L205*AE$9)+(AD205/12*10*$F205*$G205*$I205*$L205*AE$9)</f>
        <v>0</v>
      </c>
      <c r="AF205" s="37">
        <v>0</v>
      </c>
      <c r="AG205" s="36">
        <f>(AF205/12*2*$E205*$G205*$I205*$M205*AG$9)+(AF205/12*10*$F205*$G205*$I205*$M205*AG$9)</f>
        <v>0</v>
      </c>
      <c r="AH205" s="37">
        <v>0</v>
      </c>
      <c r="AI205" s="36">
        <f>(AH205/12*2*$E205*$G205*$I205*$M205*$AI$9)+(AH205/12*10*$F205*$G205*$I205*$M205*$AI$9)</f>
        <v>0</v>
      </c>
      <c r="AJ205" s="36">
        <v>0</v>
      </c>
      <c r="AK205" s="36">
        <v>0</v>
      </c>
      <c r="AL205" s="37"/>
      <c r="AM205" s="36">
        <f>SUM(AL205/12*2*$E205*$G205*$I205*$L205*AM$9)+(AL205/12*10*$F205*$G205*$I205*$L205*AM$9)</f>
        <v>0</v>
      </c>
      <c r="AN205" s="37">
        <v>0</v>
      </c>
      <c r="AO205" s="36">
        <f>SUM(AN205/12*2*$E205*$G205*$I205*$L205*$AE$9)+(AN205/12*10*$F205*$G205*$I205*$L205*$AE$9)</f>
        <v>0</v>
      </c>
      <c r="AP205" s="37"/>
      <c r="AQ205" s="36"/>
      <c r="AR205" s="37"/>
      <c r="AS205" s="36">
        <f>SUM(AR205/12*2*$E205*$G205*$I205*$L205*AS$9)+(AR205/12*10*$F205*$G205*$I205*$L205*AS$9)</f>
        <v>0</v>
      </c>
      <c r="AT205" s="37">
        <v>0</v>
      </c>
      <c r="AU205" s="36">
        <f>SUM(AT205/12*2*$E205*$G205*$I205*$L205*$AI$9)+(AT205/12*10*$F205*$G205*$I205*$L205*$AI$9)</f>
        <v>0</v>
      </c>
      <c r="AV205" s="37"/>
      <c r="AW205" s="36">
        <f>SUM(AV205/12*2*$E205*$G205*$I205*$L205*AW$9)+(AV205/12*10*$F205*$G205*$I205*$L205*AW$9)</f>
        <v>0</v>
      </c>
      <c r="AX205" s="37">
        <v>0</v>
      </c>
      <c r="AY205" s="36">
        <f>SUM(AX205/12*2*$E205*$G205*$I205*$L205*AY$9)+(AX205/12*10*$F205*$G205*$I205*$L205*AY$9)</f>
        <v>0</v>
      </c>
      <c r="AZ205" s="37">
        <v>0</v>
      </c>
      <c r="BA205" s="36">
        <f>SUM(AZ205/12*2*$E205*$G205*$I205*$L205*BA$9)+(AZ205/12*10*$F205*$G205*$I205*$L205*BA$9)</f>
        <v>0</v>
      </c>
      <c r="BB205" s="37">
        <v>0</v>
      </c>
      <c r="BC205" s="36">
        <f>SUM(BB205/12*2*$E205*$G205*$I205*$L205*BC$9)+(BB205/12*10*$F205*$G205*$I205*$L205*BC$9)</f>
        <v>0</v>
      </c>
      <c r="BD205" s="36"/>
      <c r="BE205" s="36">
        <f>SUM(BD205/12*2*$E205*$G205*$I205*$L205*BE$9)+(BD205/12*10*$F205*$G205*$I205*$L205*BE$9)</f>
        <v>0</v>
      </c>
      <c r="BF205" s="37">
        <v>0</v>
      </c>
      <c r="BG205" s="39">
        <f>(BF205/12*2*$E205*$G205*$I205*$M205*BG$9)+(BF205/12*10*$F205*$G205*$I205*$M205*BG$9)</f>
        <v>0</v>
      </c>
      <c r="BH205" s="60">
        <v>0</v>
      </c>
      <c r="BI205" s="36">
        <f>(BH205/12*2*$E205*$G205*$I205*$M205*BI$9)+(BH205/12*10*$F205*$G205*$I205*$M205*BI$9)</f>
        <v>0</v>
      </c>
      <c r="BJ205" s="36">
        <v>5</v>
      </c>
      <c r="BK205" s="36">
        <f>(BJ205/12*2*$E205*$G205*$I205*$M205*BK$9)+(BJ205/12*10*$F205*$G205*$I205*$M205*BK$9)</f>
        <v>236992.75599999999</v>
      </c>
      <c r="BL205" s="37">
        <v>0</v>
      </c>
      <c r="BM205" s="36">
        <f>(BL205/12*2*$E205*$G205*$I205*$M205*BM$9)+(BL205/12*10*$F205*$G205*$I205*$M205*BM$9)</f>
        <v>0</v>
      </c>
      <c r="BN205" s="36">
        <v>0</v>
      </c>
      <c r="BO205" s="36">
        <f>(BN205/12*10*$F205*$G205*$I205*$M205*BO$9)</f>
        <v>0</v>
      </c>
      <c r="BP205" s="39"/>
      <c r="BQ205" s="36"/>
      <c r="BR205" s="36"/>
      <c r="BS205" s="36">
        <f>(BR205/12*10*$F205*$G205*$I205*$M205*BS$9)</f>
        <v>0</v>
      </c>
      <c r="BT205" s="37">
        <v>0</v>
      </c>
      <c r="BU205" s="36">
        <f>(BT205/12*2*$E205*$G205*$I205*$M205*BU$9)+(BT205/12*10*$F205*$G205*$I205*$M205*BU$9)</f>
        <v>0</v>
      </c>
      <c r="BV205" s="36"/>
      <c r="BW205" s="36">
        <f>(BV205/12*2*$E205*$G205*$I205*$M205*BW$9)+(BV205/12*10*$F205*$G205*$I205*$M205*BW$9)</f>
        <v>0</v>
      </c>
      <c r="BX205" s="37">
        <v>0</v>
      </c>
      <c r="BY205" s="36">
        <f>(BX205/12*2*$E205*$G205*$I205*$M205*BY$9)+(BX205/12*10*$F205*$G205*$I205*$M205*BY$9)</f>
        <v>0</v>
      </c>
      <c r="BZ205" s="37"/>
      <c r="CA205" s="36">
        <f>(BZ205/12*2*$E205*$G205*$I205*$M205*CA$9)+(BZ205/12*10*$F205*$G205*$I205*$M205*CA$9)</f>
        <v>0</v>
      </c>
      <c r="CB205" s="37"/>
      <c r="CC205" s="36">
        <f>(CB205/12*2*$E205*$G205*$I205*$M205*CC$9)+(CB205/12*10*$F205*$G205*$I205*$M205*CC$9)</f>
        <v>0</v>
      </c>
      <c r="CD205" s="37">
        <v>0</v>
      </c>
      <c r="CE205" s="36">
        <f>(CD205/12*2*$E205*$G205*$I205*$M205*CE$9)+(CD205/12*10*$F205*$G205*$I205*$M205*CE$9)</f>
        <v>0</v>
      </c>
      <c r="CF205" s="36">
        <v>0</v>
      </c>
      <c r="CG205" s="36">
        <f>(CF205/12*2*$E205*$G205*$I205*$N205*CG$9)+(CF205/12*10*$F205*$G205*$I205*$N205*CG$9)</f>
        <v>0</v>
      </c>
      <c r="CH205" s="37">
        <v>0</v>
      </c>
      <c r="CI205" s="36">
        <f>(CH205/12*2*$E205*$G205*$I205*$O205*$CI$9)+(CH205/12*10*$F205*$G205*$I205*$O205*$CI$9)</f>
        <v>0</v>
      </c>
      <c r="CJ205" s="36"/>
      <c r="CK205" s="36"/>
      <c r="CL205" s="36"/>
      <c r="CM205" s="36"/>
      <c r="CN205" s="41"/>
      <c r="CO205" s="41"/>
      <c r="CP205" s="42">
        <f t="shared" si="216"/>
        <v>5</v>
      </c>
      <c r="CQ205" s="42">
        <f t="shared" si="216"/>
        <v>236992.75599999999</v>
      </c>
    </row>
    <row r="206" spans="1:95" s="3" customFormat="1" ht="30" hidden="1" customHeight="1" x14ac:dyDescent="0.25">
      <c r="A206" s="54"/>
      <c r="B206" s="54">
        <v>132</v>
      </c>
      <c r="C206" s="55" t="s">
        <v>525</v>
      </c>
      <c r="D206" s="120" t="s">
        <v>526</v>
      </c>
      <c r="E206" s="110">
        <v>16026</v>
      </c>
      <c r="F206" s="110">
        <v>16828</v>
      </c>
      <c r="G206" s="33">
        <v>2.4900000000000002</v>
      </c>
      <c r="H206" s="34"/>
      <c r="I206" s="35">
        <v>1</v>
      </c>
      <c r="J206" s="111"/>
      <c r="K206" s="35"/>
      <c r="L206" s="97">
        <v>1.4</v>
      </c>
      <c r="M206" s="97">
        <v>1.68</v>
      </c>
      <c r="N206" s="97">
        <v>2.23</v>
      </c>
      <c r="O206" s="97">
        <v>2.57</v>
      </c>
      <c r="P206" s="36">
        <v>0</v>
      </c>
      <c r="Q206" s="36">
        <f>SUM(P206/12*2*$E206*$G206*$I206*$L206*$Q$9)+(P206/12*10*$F206*$G206*$I206*$L206*$Q$9)</f>
        <v>0</v>
      </c>
      <c r="R206" s="36">
        <v>20</v>
      </c>
      <c r="S206" s="36">
        <f>SUM(R206/12*2*$E206*$G206*$I206*$L206*S$9)+(R206/12*10*$F206*$G206*$I206*$L206*S$9)</f>
        <v>1163928.9200000002</v>
      </c>
      <c r="T206" s="36">
        <v>9</v>
      </c>
      <c r="U206" s="36">
        <f>SUM(T206/12*2*$E206*$G206*$I206*$L206*U$9)+(T206/12*10*$F206*$G206*$I206*$L206*U$9)</f>
        <v>523768.01400000002</v>
      </c>
      <c r="V206" s="37">
        <v>0</v>
      </c>
      <c r="W206" s="36">
        <f>SUM(V206/12*2*$E206*$G206*$I206*$L206*$W$9)+(V206/12*10*$F206*$G206*$I206*$L206*$W$9)</f>
        <v>0</v>
      </c>
      <c r="X206" s="37">
        <v>0</v>
      </c>
      <c r="Y206" s="38">
        <f>SUM(X206/12*2*$E206*$G206*$I206*$L206*Y$9)+(X206/12*10*$F206*$G206*$I206*$L206*Y$9)</f>
        <v>0</v>
      </c>
      <c r="Z206" s="37"/>
      <c r="AA206" s="36"/>
      <c r="AB206" s="37"/>
      <c r="AC206" s="36">
        <f>(AB206/12*2*$E206*$G206*$I206*$L206)+(AB206/12*10*$F206*$G206*$I206*$L206)</f>
        <v>0</v>
      </c>
      <c r="AD206" s="37">
        <v>0</v>
      </c>
      <c r="AE206" s="36">
        <f>(AD206/12*2*$E206*$G206*$I206*$L206*AE$9)+(AD206/12*10*$F206*$G206*$I206*$L206*AE$9)</f>
        <v>0</v>
      </c>
      <c r="AF206" s="37">
        <v>0</v>
      </c>
      <c r="AG206" s="36">
        <f>(AF206/12*2*$E206*$G206*$I206*$M206*AG$9)+(AF206/12*10*$F206*$G206*$I206*$M206*AG$9)</f>
        <v>0</v>
      </c>
      <c r="AH206" s="37">
        <v>0</v>
      </c>
      <c r="AI206" s="36">
        <f>(AH206/12*2*$E206*$G206*$I206*$M206*$AI$9)+(AH206/12*10*$F206*$G206*$I206*$M206*$AI$9)</f>
        <v>0</v>
      </c>
      <c r="AJ206" s="36">
        <v>0</v>
      </c>
      <c r="AK206" s="36">
        <v>0</v>
      </c>
      <c r="AL206" s="37"/>
      <c r="AM206" s="36">
        <f>SUM(AL206/12*2*$E206*$G206*$I206*$L206*AM$9)+(AL206/12*10*$F206*$G206*$I206*$L206*AM$9)</f>
        <v>0</v>
      </c>
      <c r="AN206" s="37">
        <v>0</v>
      </c>
      <c r="AO206" s="36">
        <f>SUM(AN206/12*2*$E206*$G206*$I206*$L206*$AE$9)+(AN206/12*10*$F206*$G206*$I206*$L206*$AE$9)</f>
        <v>0</v>
      </c>
      <c r="AP206" s="37"/>
      <c r="AQ206" s="36"/>
      <c r="AR206" s="37"/>
      <c r="AS206" s="36">
        <f>SUM(AR206/12*2*$E206*$G206*$I206*$L206*AS$9)+(AR206/12*10*$F206*$G206*$I206*$L206*AS$9)</f>
        <v>0</v>
      </c>
      <c r="AT206" s="37">
        <v>0</v>
      </c>
      <c r="AU206" s="36">
        <f>SUM(AT206/12*2*$E206*$G206*$I206*$L206*$AI$9)+(AT206/12*10*$F206*$G206*$I206*$L206*$AI$9)</f>
        <v>0</v>
      </c>
      <c r="AV206" s="37"/>
      <c r="AW206" s="36">
        <f>SUM(AV206/12*2*$E206*$G206*$I206*$L206*AW$9)+(AV206/12*10*$F206*$G206*$I206*$L206*AW$9)</f>
        <v>0</v>
      </c>
      <c r="AX206" s="37">
        <v>0</v>
      </c>
      <c r="AY206" s="36">
        <f>SUM(AX206/12*2*$E206*$G206*$I206*$L206*AY$9)+(AX206/12*10*$F206*$G206*$I206*$L206*AY$9)</f>
        <v>0</v>
      </c>
      <c r="AZ206" s="37">
        <v>0</v>
      </c>
      <c r="BA206" s="36">
        <f>SUM(AZ206/12*2*$E206*$G206*$I206*$L206*BA$9)+(AZ206/12*10*$F206*$G206*$I206*$L206*BA$9)</f>
        <v>0</v>
      </c>
      <c r="BB206" s="37">
        <v>0</v>
      </c>
      <c r="BC206" s="36">
        <f>SUM(BB206/12*2*$E206*$G206*$I206*$L206*BC$9)+(BB206/12*10*$F206*$G206*$I206*$L206*BC$9)</f>
        <v>0</v>
      </c>
      <c r="BD206" s="36"/>
      <c r="BE206" s="36">
        <f>SUM(BD206/12*2*$E206*$G206*$I206*$L206*BE$9)+(BD206/12*10*$F206*$G206*$I206*$L206*BE$9)</f>
        <v>0</v>
      </c>
      <c r="BF206" s="37">
        <v>0</v>
      </c>
      <c r="BG206" s="39">
        <f>(BF206/12*2*$E206*$G206*$I206*$M206*BG$9)+(BF206/12*10*$F206*$G206*$I206*$M206*BG$9)</f>
        <v>0</v>
      </c>
      <c r="BH206" s="60">
        <v>0</v>
      </c>
      <c r="BI206" s="36">
        <f>(BH206/12*2*$E206*$G206*$I206*$M206*BI$9)+(BH206/12*10*$F206*$G206*$I206*$M206*BI$9)</f>
        <v>0</v>
      </c>
      <c r="BJ206" s="36"/>
      <c r="BK206" s="36">
        <f>(BJ206/12*2*$E206*$G206*$I206*$M206*BK$9)+(BJ206/12*10*$F206*$G206*$I206*$M206*BK$9)</f>
        <v>0</v>
      </c>
      <c r="BL206" s="37">
        <v>0</v>
      </c>
      <c r="BM206" s="36">
        <f>(BL206/12*2*$E206*$G206*$I206*$M206*BM$9)+(BL206/12*10*$F206*$G206*$I206*$M206*BM$9)</f>
        <v>0</v>
      </c>
      <c r="BN206" s="36">
        <v>0</v>
      </c>
      <c r="BO206" s="36">
        <f>(BN206/12*10*$F206*$G206*$I206*$M206*BO$9)</f>
        <v>0</v>
      </c>
      <c r="BP206" s="39"/>
      <c r="BQ206" s="36"/>
      <c r="BR206" s="36"/>
      <c r="BS206" s="36">
        <f>(BR206/12*10*$F206*$G206*$I206*$M206*BS$9)</f>
        <v>0</v>
      </c>
      <c r="BT206" s="37">
        <v>0</v>
      </c>
      <c r="BU206" s="36">
        <f>(BT206/12*2*$E206*$G206*$I206*$M206*BU$9)+(BT206/12*10*$F206*$G206*$I206*$M206*BU$9)</f>
        <v>0</v>
      </c>
      <c r="BV206" s="36"/>
      <c r="BW206" s="36">
        <f>(BV206/12*2*$E206*$G206*$I206*$M206*BW$9)+(BV206/12*10*$F206*$G206*$I206*$M206*BW$9)</f>
        <v>0</v>
      </c>
      <c r="BX206" s="37">
        <v>0</v>
      </c>
      <c r="BY206" s="36">
        <f>(BX206/12*2*$E206*$G206*$I206*$M206*BY$9)+(BX206/12*10*$F206*$G206*$I206*$M206*BY$9)</f>
        <v>0</v>
      </c>
      <c r="BZ206" s="37"/>
      <c r="CA206" s="36">
        <f>(BZ206/12*2*$E206*$G206*$I206*$M206*CA$9)+(BZ206/12*10*$F206*$G206*$I206*$M206*CA$9)</f>
        <v>0</v>
      </c>
      <c r="CB206" s="37"/>
      <c r="CC206" s="36">
        <f>(CB206/12*2*$E206*$G206*$I206*$M206*CC$9)+(CB206/12*10*$F206*$G206*$I206*$M206*CC$9)</f>
        <v>0</v>
      </c>
      <c r="CD206" s="37">
        <v>0</v>
      </c>
      <c r="CE206" s="36">
        <f>(CD206/12*2*$E206*$G206*$I206*$M206*CE$9)+(CD206/12*10*$F206*$G206*$I206*$M206*CE$9)</f>
        <v>0</v>
      </c>
      <c r="CF206" s="36">
        <v>0</v>
      </c>
      <c r="CG206" s="36">
        <f>(CF206/12*2*$E206*$G206*$I206*$N206*CG$9)+(CF206/12*10*$F206*$G206*$I206*$N206*CG$9)</f>
        <v>0</v>
      </c>
      <c r="CH206" s="37">
        <v>0</v>
      </c>
      <c r="CI206" s="36">
        <f>(CH206/12*2*$E206*$G206*$I206*$O206*$CI$9)+(CH206/12*10*$F206*$G206*$I206*$O206*$CI$9)</f>
        <v>0</v>
      </c>
      <c r="CJ206" s="36"/>
      <c r="CK206" s="36"/>
      <c r="CL206" s="36"/>
      <c r="CM206" s="36"/>
      <c r="CN206" s="41"/>
      <c r="CO206" s="41"/>
      <c r="CP206" s="42">
        <f t="shared" si="216"/>
        <v>29</v>
      </c>
      <c r="CQ206" s="42">
        <f t="shared" si="216"/>
        <v>1687696.9340000001</v>
      </c>
    </row>
    <row r="207" spans="1:95" s="3" customFormat="1" ht="30" hidden="1" customHeight="1" x14ac:dyDescent="0.25">
      <c r="A207" s="54"/>
      <c r="B207" s="54">
        <v>133</v>
      </c>
      <c r="C207" s="55" t="s">
        <v>527</v>
      </c>
      <c r="D207" s="120" t="s">
        <v>528</v>
      </c>
      <c r="E207" s="110">
        <v>16026</v>
      </c>
      <c r="F207" s="110">
        <v>16828</v>
      </c>
      <c r="G207" s="33">
        <v>1.05</v>
      </c>
      <c r="H207" s="34"/>
      <c r="I207" s="35">
        <v>1</v>
      </c>
      <c r="J207" s="47">
        <v>0.9</v>
      </c>
      <c r="K207" s="35"/>
      <c r="L207" s="97">
        <v>1.4</v>
      </c>
      <c r="M207" s="97">
        <v>1.68</v>
      </c>
      <c r="N207" s="97">
        <v>2.23</v>
      </c>
      <c r="O207" s="97">
        <v>2.57</v>
      </c>
      <c r="P207" s="36">
        <v>34</v>
      </c>
      <c r="Q207" s="36">
        <f>SUM(P207/12*2*$E207*$G207*$I207*$L207*$Q$9)+(P207/12*10*$F207*$G207*$J207*$L207*$Q$9)</f>
        <v>764294.16</v>
      </c>
      <c r="R207" s="37">
        <v>1</v>
      </c>
      <c r="S207" s="36">
        <f>SUM(R207/12*2*$E207*$G207*$I207*$L207*S$9)+(R207/12*10*$F207*$G207*$J207*$L207*S$9)</f>
        <v>22479.239999999998</v>
      </c>
      <c r="T207" s="36">
        <v>102</v>
      </c>
      <c r="U207" s="36">
        <f>SUM(T207/12*2*$E207*$G207*$I207*$L207*U$9)+(T207/12*10*$F207*$G207*$J207*$L207*U$9)</f>
        <v>2292882.48</v>
      </c>
      <c r="V207" s="37">
        <v>1</v>
      </c>
      <c r="W207" s="36">
        <f>(V207*$F207*$G207*$J207*$L207*$W$9)</f>
        <v>22263.444</v>
      </c>
      <c r="X207" s="37"/>
      <c r="Y207" s="38">
        <f>SUM(X207/12*2*$E207*$G207*$I207*$L207*Y$9)+(X207/12*10*$F207*$G207*$J207*$L207*Y$9)</f>
        <v>0</v>
      </c>
      <c r="Z207" s="37"/>
      <c r="AA207" s="36"/>
      <c r="AB207" s="37">
        <v>0</v>
      </c>
      <c r="AC207" s="36">
        <f>(AB207/12*2*$E207*$G207*$I207*$L207)+(AB207/12*10*$F207*$G207*$J207*$L207)</f>
        <v>0</v>
      </c>
      <c r="AD207" s="39">
        <v>5</v>
      </c>
      <c r="AE207" s="36">
        <f>(AD207/12*2*$E207*$G207*$I207*$L207*AE$9)+(AD207/12*10*$F207*$G207*$J207*$L207*AE$9)</f>
        <v>112396.20000000001</v>
      </c>
      <c r="AF207" s="37">
        <v>0</v>
      </c>
      <c r="AG207" s="36">
        <f>(AF207/12*2*$E207*$G207*$I207*$M207*AG$9)+(AF207/12*10*$F207*$G207*$J207*$M207*AG$9)</f>
        <v>0</v>
      </c>
      <c r="AH207" s="69">
        <v>10</v>
      </c>
      <c r="AI207" s="36">
        <f>(AH207/12*2*$E207*$G207*$I207*$M207*$AI$9)+(AH207/12*10*$F207*$G207*$J207*$M207*$AI$9)</f>
        <v>269750.88</v>
      </c>
      <c r="AJ207" s="36">
        <v>35</v>
      </c>
      <c r="AK207" s="36">
        <v>945940.66</v>
      </c>
      <c r="AL207" s="37"/>
      <c r="AM207" s="36">
        <f>SUM(AL207/12*2*$E207*$G207*$I207*$L207*AM$9)+(AL207/12*10*$F207*$G207*$J207*$L207*AM$9)</f>
        <v>0</v>
      </c>
      <c r="AN207" s="37"/>
      <c r="AO207" s="36">
        <f>SUM(AN207/12*2*$E207*$G207*$I207*$L207*$AE$9)+(AN207/12*10*$F207*$G207*$J207*$L207*$AE$9)</f>
        <v>0</v>
      </c>
      <c r="AP207" s="37"/>
      <c r="AQ207" s="36"/>
      <c r="AR207" s="37"/>
      <c r="AS207" s="36">
        <f>SUM(AR207/12*2*$E207*$G207*$I207*$L207*AS$9)+(AR207/12*10*$F207*$G207*$J207*$L207*AS$9)</f>
        <v>0</v>
      </c>
      <c r="AT207" s="37"/>
      <c r="AU207" s="36">
        <f>SUM(AT207/12*2*$E207*$G207*$I207*$L207*$AI$9)+(AT207/12*10*$F207*$G207*$J207*$L207*$AI$9)</f>
        <v>0</v>
      </c>
      <c r="AV207" s="36">
        <v>55</v>
      </c>
      <c r="AW207" s="36">
        <f>SUM(AV207/12*2*$E207*$G207*$I207*$L207*AW$9)+(AV207/12*10*$F207*$G207*$J207*$L207*AW$9)</f>
        <v>1236358.2</v>
      </c>
      <c r="AX207" s="36">
        <v>5</v>
      </c>
      <c r="AY207" s="36">
        <f>SUM(AX207/12*2*$E207*$G207*$I207*$L207*AY$9)+(AX207/12*10*$F207*$G207*$J207*$L207*AY$9)</f>
        <v>112396.20000000001</v>
      </c>
      <c r="AZ207" s="37"/>
      <c r="BA207" s="36">
        <f>SUM(AZ207/12*2*$E207*$G207*$I207*$L207*BA$9)+(AZ207/12*10*$F207*$G207*$J207*$L207*BA$9)</f>
        <v>0</v>
      </c>
      <c r="BB207" s="37"/>
      <c r="BC207" s="36">
        <f>SUM(BB207/12*2*$E207*$G207*$I207*$L207*BC$9)+(BB207/12*10*$F207*$G207*$J207*$L207*BC$9)</f>
        <v>0</v>
      </c>
      <c r="BD207" s="36">
        <v>34</v>
      </c>
      <c r="BE207" s="36">
        <f>SUM(BD207/12*2*$E207*$G207*$I207*$L207*BE$9)+(BD207/12*10*$F207*$G207*$J207*$L207*BE$9)</f>
        <v>764294.16</v>
      </c>
      <c r="BF207" s="58">
        <v>40</v>
      </c>
      <c r="BG207" s="39">
        <f>(BF207/12*2*$E207*$G207*$I207*$M207*BG$9)+(BF207/12*10*$F207*$G207*$J207*$M207*BG$9)</f>
        <v>1079003.52</v>
      </c>
      <c r="BH207" s="60"/>
      <c r="BI207" s="36">
        <f>(BH207/12*2*$E207*$G207*$I207*$M207*BI$9)+(BH207/12*10*$F207*$G207*$J207*$M207*BI$9)</f>
        <v>0</v>
      </c>
      <c r="BJ207" s="36">
        <v>130</v>
      </c>
      <c r="BK207" s="36">
        <f>(BJ207/12*2*$E207*$G207*$I207*$M207*BK$9)+(BJ207/12*10*$F207*$G207*$J207*$M207*BK$9)</f>
        <v>3506761.4400000004</v>
      </c>
      <c r="BL207" s="40"/>
      <c r="BM207" s="36">
        <f>(BL207/12*2*$E207*$G207*$I207*$M207*BM$9)+(BL207/12*10*$F207*$G207*$J207*$M207*BM$9)</f>
        <v>0</v>
      </c>
      <c r="BN207" s="36">
        <v>70</v>
      </c>
      <c r="BO207" s="36">
        <f>(BN207/12*10*$F207*$G207*$J207*$M207*BO$9)</f>
        <v>1558441.0799999998</v>
      </c>
      <c r="BP207" s="59"/>
      <c r="BQ207" s="36"/>
      <c r="BR207" s="36"/>
      <c r="BS207" s="36">
        <f>(BR207/12*10*$F207*$G207*$J207*$M207*BS$9)</f>
        <v>0</v>
      </c>
      <c r="BT207" s="37"/>
      <c r="BU207" s="36"/>
      <c r="BV207" s="36">
        <v>30</v>
      </c>
      <c r="BW207" s="36">
        <f>(BV207/12*2*$E207*$G207*$I207*$M207*BW$9)+(BV207/12*10*$F207*$G207*$J207*$M207*BW$9)</f>
        <v>809252.6399999999</v>
      </c>
      <c r="BX207" s="36">
        <v>10</v>
      </c>
      <c r="BY207" s="36">
        <f>(BX207/12*2*$E207*$G207*$I207*$M207*BY$9)+(BX207/12*10*$F207*$G207*$J207*$M207*BY$9)</f>
        <v>269750.88</v>
      </c>
      <c r="BZ207" s="58">
        <v>8</v>
      </c>
      <c r="CA207" s="36">
        <f>(BZ207/12*2*$E207*$G207*$I207*$M207*CA$9)+(BZ207/12*10*$F207*$G207*$J207*$M207*CA$9)</f>
        <v>215800.704</v>
      </c>
      <c r="CB207" s="36">
        <v>3</v>
      </c>
      <c r="CC207" s="36">
        <v>28269.86</v>
      </c>
      <c r="CD207" s="36">
        <v>8</v>
      </c>
      <c r="CE207" s="36">
        <f>(CD207/12*2*$E207*$G207*$I207*$M207*CE$9)+(CD207/12*10*$F207*$G207*$J207*$M207*CE$9)</f>
        <v>215800.704</v>
      </c>
      <c r="CF207" s="58">
        <v>40</v>
      </c>
      <c r="CG207" s="36">
        <f>(CF207/12*2*$E207*$G207*$I207*$N207*CG$9)+(CF207/12*10*$F207*$G207*$J207*$N207*CG$9)</f>
        <v>1432248.7200000002</v>
      </c>
      <c r="CH207" s="58">
        <v>45</v>
      </c>
      <c r="CI207" s="36">
        <f>(CH207/12*2*$E207*$G207*$I207*$O207*$CI$9)+(CH207/12*10*$F207*$G207*$J207*$O207*$CI$9)</f>
        <v>1856945.79</v>
      </c>
      <c r="CJ207" s="36"/>
      <c r="CK207" s="36"/>
      <c r="CL207" s="36"/>
      <c r="CM207" s="36"/>
      <c r="CN207" s="41"/>
      <c r="CO207" s="41"/>
      <c r="CP207" s="42">
        <f t="shared" si="216"/>
        <v>666</v>
      </c>
      <c r="CQ207" s="42">
        <f t="shared" si="216"/>
        <v>17515330.962000001</v>
      </c>
    </row>
    <row r="208" spans="1:95" ht="18.75" hidden="1" customHeight="1" x14ac:dyDescent="0.25">
      <c r="A208" s="124">
        <v>30</v>
      </c>
      <c r="B208" s="124"/>
      <c r="C208" s="149" t="s">
        <v>529</v>
      </c>
      <c r="D208" s="141" t="s">
        <v>530</v>
      </c>
      <c r="E208" s="110">
        <v>16026</v>
      </c>
      <c r="F208" s="134">
        <v>16828</v>
      </c>
      <c r="G208" s="138">
        <v>0.98</v>
      </c>
      <c r="H208" s="136"/>
      <c r="I208" s="128"/>
      <c r="J208" s="129"/>
      <c r="K208" s="29"/>
      <c r="L208" s="97">
        <v>1.4</v>
      </c>
      <c r="M208" s="97">
        <v>1.68</v>
      </c>
      <c r="N208" s="97">
        <v>2.23</v>
      </c>
      <c r="O208" s="97">
        <v>2.57</v>
      </c>
      <c r="P208" s="139">
        <f>SUM(P209:P214)</f>
        <v>22</v>
      </c>
      <c r="Q208" s="139">
        <f t="shared" ref="Q208:BH208" si="217">SUM(Q209:Q214)</f>
        <v>525637.77933333325</v>
      </c>
      <c r="R208" s="139">
        <f t="shared" si="217"/>
        <v>0</v>
      </c>
      <c r="S208" s="139">
        <f t="shared" si="217"/>
        <v>0</v>
      </c>
      <c r="T208" s="139">
        <f t="shared" si="217"/>
        <v>0</v>
      </c>
      <c r="U208" s="139">
        <f t="shared" si="217"/>
        <v>0</v>
      </c>
      <c r="V208" s="139">
        <f t="shared" si="217"/>
        <v>0</v>
      </c>
      <c r="W208" s="139">
        <f t="shared" si="217"/>
        <v>0</v>
      </c>
      <c r="X208" s="139">
        <f t="shared" si="217"/>
        <v>0</v>
      </c>
      <c r="Y208" s="139">
        <f t="shared" si="217"/>
        <v>0</v>
      </c>
      <c r="Z208" s="139">
        <f t="shared" si="217"/>
        <v>0</v>
      </c>
      <c r="AA208" s="139">
        <f t="shared" si="217"/>
        <v>0</v>
      </c>
      <c r="AB208" s="139">
        <f t="shared" si="217"/>
        <v>0</v>
      </c>
      <c r="AC208" s="139">
        <f t="shared" si="217"/>
        <v>0</v>
      </c>
      <c r="AD208" s="139">
        <f t="shared" si="217"/>
        <v>20</v>
      </c>
      <c r="AE208" s="139">
        <f t="shared" si="217"/>
        <v>373953.06666666665</v>
      </c>
      <c r="AF208" s="139">
        <f t="shared" si="217"/>
        <v>0</v>
      </c>
      <c r="AG208" s="139">
        <f t="shared" si="217"/>
        <v>0</v>
      </c>
      <c r="AH208" s="139">
        <f>SUM(AH209:AH214)</f>
        <v>0</v>
      </c>
      <c r="AI208" s="139">
        <f t="shared" si="217"/>
        <v>0</v>
      </c>
      <c r="AJ208" s="139">
        <v>0</v>
      </c>
      <c r="AK208" s="139">
        <v>0</v>
      </c>
      <c r="AL208" s="139">
        <f t="shared" si="217"/>
        <v>0</v>
      </c>
      <c r="AM208" s="139">
        <f t="shared" si="217"/>
        <v>0</v>
      </c>
      <c r="AN208" s="139">
        <f t="shared" si="217"/>
        <v>0</v>
      </c>
      <c r="AO208" s="139">
        <f t="shared" si="217"/>
        <v>0</v>
      </c>
      <c r="AP208" s="139">
        <f t="shared" si="217"/>
        <v>0</v>
      </c>
      <c r="AQ208" s="139">
        <f t="shared" si="217"/>
        <v>0</v>
      </c>
      <c r="AR208" s="139">
        <f t="shared" si="217"/>
        <v>0</v>
      </c>
      <c r="AS208" s="139">
        <f t="shared" si="217"/>
        <v>0</v>
      </c>
      <c r="AT208" s="139">
        <f t="shared" si="217"/>
        <v>0</v>
      </c>
      <c r="AU208" s="139">
        <f t="shared" si="217"/>
        <v>0</v>
      </c>
      <c r="AV208" s="139">
        <f t="shared" si="217"/>
        <v>0</v>
      </c>
      <c r="AW208" s="139">
        <f t="shared" si="217"/>
        <v>0</v>
      </c>
      <c r="AX208" s="139">
        <f t="shared" si="217"/>
        <v>0</v>
      </c>
      <c r="AY208" s="139">
        <f t="shared" si="217"/>
        <v>0</v>
      </c>
      <c r="AZ208" s="139">
        <f t="shared" si="217"/>
        <v>0</v>
      </c>
      <c r="BA208" s="139">
        <f>SUM(BA209:BA214)</f>
        <v>0</v>
      </c>
      <c r="BB208" s="139">
        <f t="shared" si="217"/>
        <v>0</v>
      </c>
      <c r="BC208" s="139">
        <f>SUM(BC209:BC214)</f>
        <v>0</v>
      </c>
      <c r="BD208" s="139">
        <f t="shared" si="217"/>
        <v>14</v>
      </c>
      <c r="BE208" s="139">
        <f t="shared" si="217"/>
        <v>261767.14666666667</v>
      </c>
      <c r="BF208" s="139">
        <f t="shared" si="217"/>
        <v>11</v>
      </c>
      <c r="BG208" s="139">
        <f t="shared" si="217"/>
        <v>312437.78719999996</v>
      </c>
      <c r="BH208" s="139">
        <f t="shared" si="217"/>
        <v>0</v>
      </c>
      <c r="BI208" s="139">
        <f>SUM(BI209:BI214)</f>
        <v>0</v>
      </c>
      <c r="BJ208" s="139">
        <f t="shared" ref="BJ208:BT208" si="218">SUM(BJ209:BJ214)</f>
        <v>0</v>
      </c>
      <c r="BK208" s="139">
        <f t="shared" si="218"/>
        <v>0</v>
      </c>
      <c r="BL208" s="139">
        <f t="shared" si="218"/>
        <v>5</v>
      </c>
      <c r="BM208" s="139">
        <f t="shared" si="218"/>
        <v>112185.92000000001</v>
      </c>
      <c r="BN208" s="139">
        <f t="shared" si="218"/>
        <v>9</v>
      </c>
      <c r="BO208" s="139">
        <f>SUM(BO209:BO214)</f>
        <v>169626.23999999999</v>
      </c>
      <c r="BP208" s="139">
        <f t="shared" si="218"/>
        <v>0</v>
      </c>
      <c r="BQ208" s="139">
        <f>SUM(BQ209:BQ214)</f>
        <v>0</v>
      </c>
      <c r="BR208" s="139">
        <f t="shared" si="218"/>
        <v>8</v>
      </c>
      <c r="BS208" s="139">
        <f>SUM(BS209:BS214)</f>
        <v>410872.44799999997</v>
      </c>
      <c r="BT208" s="139">
        <f t="shared" si="218"/>
        <v>0</v>
      </c>
      <c r="BU208" s="139">
        <f>SUM(BU209:BU214)</f>
        <v>0</v>
      </c>
      <c r="BV208" s="139">
        <f t="shared" ref="BV208:CQ208" si="219">SUM(BV209:BV214)</f>
        <v>6</v>
      </c>
      <c r="BW208" s="139">
        <f t="shared" si="219"/>
        <v>134623.10399999999</v>
      </c>
      <c r="BX208" s="139">
        <f t="shared" si="219"/>
        <v>0</v>
      </c>
      <c r="BY208" s="139">
        <f t="shared" si="219"/>
        <v>0</v>
      </c>
      <c r="BZ208" s="139">
        <f t="shared" si="219"/>
        <v>0</v>
      </c>
      <c r="CA208" s="139">
        <f t="shared" si="219"/>
        <v>0</v>
      </c>
      <c r="CB208" s="139">
        <f t="shared" si="219"/>
        <v>0</v>
      </c>
      <c r="CC208" s="139">
        <f t="shared" si="219"/>
        <v>0</v>
      </c>
      <c r="CD208" s="139">
        <f t="shared" si="219"/>
        <v>2</v>
      </c>
      <c r="CE208" s="139">
        <f t="shared" si="219"/>
        <v>44874.367999999995</v>
      </c>
      <c r="CF208" s="139">
        <f t="shared" si="219"/>
        <v>0</v>
      </c>
      <c r="CG208" s="139">
        <f t="shared" si="219"/>
        <v>0</v>
      </c>
      <c r="CH208" s="139">
        <f t="shared" si="219"/>
        <v>15</v>
      </c>
      <c r="CI208" s="139">
        <f t="shared" si="219"/>
        <v>514853.24</v>
      </c>
      <c r="CJ208" s="139">
        <f t="shared" si="219"/>
        <v>0</v>
      </c>
      <c r="CK208" s="139">
        <f t="shared" si="219"/>
        <v>0</v>
      </c>
      <c r="CL208" s="139">
        <f t="shared" si="219"/>
        <v>0</v>
      </c>
      <c r="CM208" s="139">
        <f t="shared" si="219"/>
        <v>0</v>
      </c>
      <c r="CN208" s="139">
        <f t="shared" si="219"/>
        <v>0</v>
      </c>
      <c r="CO208" s="139">
        <f>SUM(CO209:CO214)</f>
        <v>0</v>
      </c>
      <c r="CP208" s="139">
        <f>SUM(CP209:CP214)</f>
        <v>112</v>
      </c>
      <c r="CQ208" s="139">
        <f t="shared" si="219"/>
        <v>2860831.0998666668</v>
      </c>
    </row>
    <row r="209" spans="1:95" s="3" customFormat="1" ht="45" hidden="1" customHeight="1" x14ac:dyDescent="0.25">
      <c r="A209" s="54"/>
      <c r="B209" s="54">
        <v>134</v>
      </c>
      <c r="C209" s="55" t="s">
        <v>531</v>
      </c>
      <c r="D209" s="120" t="s">
        <v>532</v>
      </c>
      <c r="E209" s="110">
        <v>16026</v>
      </c>
      <c r="F209" s="110">
        <v>16828</v>
      </c>
      <c r="G209" s="33">
        <v>0.8</v>
      </c>
      <c r="H209" s="34"/>
      <c r="I209" s="35">
        <v>1</v>
      </c>
      <c r="J209" s="111"/>
      <c r="K209" s="35"/>
      <c r="L209" s="97">
        <v>1.4</v>
      </c>
      <c r="M209" s="97">
        <v>1.68</v>
      </c>
      <c r="N209" s="97">
        <v>2.23</v>
      </c>
      <c r="O209" s="97">
        <v>2.57</v>
      </c>
      <c r="P209" s="36">
        <v>18</v>
      </c>
      <c r="Q209" s="36">
        <f t="shared" ref="Q209:Q214" si="220">SUM(P209/12*2*$E209*$G209*$I209*$L209*$Q$9)+(P209/12*10*$F209*$G209*$I209*$L209*$Q$9)</f>
        <v>336557.75999999995</v>
      </c>
      <c r="R209" s="37"/>
      <c r="S209" s="36">
        <f t="shared" ref="S209:S214" si="221">SUM(R209/12*2*$E209*$G209*$I209*$L209*S$9)+(R209/12*10*$F209*$G209*$I209*$L209*S$9)</f>
        <v>0</v>
      </c>
      <c r="T209" s="36"/>
      <c r="U209" s="36">
        <f t="shared" ref="U209:U214" si="222">SUM(T209/12*2*$E209*$G209*$I209*$L209*U$9)+(T209/12*10*$F209*$G209*$I209*$L209*U$9)</f>
        <v>0</v>
      </c>
      <c r="V209" s="37"/>
      <c r="W209" s="36">
        <f t="shared" ref="W209:W214" si="223">SUM(V209/12*2*$E209*$G209*$I209*$L209*$W$9)+(V209/12*10*$F209*$G209*$I209*$L209*$W$9)</f>
        <v>0</v>
      </c>
      <c r="X209" s="37"/>
      <c r="Y209" s="38">
        <f t="shared" ref="Y209:Y214" si="224">SUM(X209/12*2*$E209*$G209*$I209*$L209*Y$9)+(X209/12*10*$F209*$G209*$I209*$L209*Y$9)</f>
        <v>0</v>
      </c>
      <c r="Z209" s="37"/>
      <c r="AA209" s="36"/>
      <c r="AB209" s="37">
        <v>0</v>
      </c>
      <c r="AC209" s="36">
        <f t="shared" ref="AC209:AC214" si="225">(AB209/12*2*$E209*$G209*$I209*$L209)+(AB209/12*10*$F209*$G209*$I209*$L209)</f>
        <v>0</v>
      </c>
      <c r="AD209" s="39">
        <v>20</v>
      </c>
      <c r="AE209" s="36">
        <f t="shared" ref="AE209:AE214" si="226">(AD209/12*2*$E209*$G209*$I209*$L209*AE$9)+(AD209/12*10*$F209*$G209*$I209*$L209*AE$9)</f>
        <v>373953.06666666665</v>
      </c>
      <c r="AF209" s="37">
        <v>0</v>
      </c>
      <c r="AG209" s="36">
        <f t="shared" ref="AG209:AG214" si="227">(AF209/12*2*$E209*$G209*$I209*$M209*AG$9)+(AF209/12*10*$F209*$G209*$I209*$M209*AG$9)</f>
        <v>0</v>
      </c>
      <c r="AH209" s="40"/>
      <c r="AI209" s="36">
        <f t="shared" ref="AI209:AI214" si="228">(AH209/12*2*$E209*$G209*$I209*$M209*$AI$9)+(AH209/12*10*$F209*$G209*$I209*$M209*$AI$9)</f>
        <v>0</v>
      </c>
      <c r="AJ209" s="36">
        <v>0</v>
      </c>
      <c r="AK209" s="36">
        <v>0</v>
      </c>
      <c r="AL209" s="37"/>
      <c r="AM209" s="36">
        <f t="shared" ref="AM209:AM214" si="229">SUM(AL209/12*2*$E209*$G209*$I209*$L209*AM$9)+(AL209/12*10*$F209*$G209*$I209*$L209*AM$9)</f>
        <v>0</v>
      </c>
      <c r="AN209" s="37"/>
      <c r="AO209" s="36">
        <f t="shared" ref="AO209:AO214" si="230">SUM(AN209/12*2*$E209*$G209*$I209*$L209*$AE$9)+(AN209/12*10*$F209*$G209*$I209*$L209*$AE$9)</f>
        <v>0</v>
      </c>
      <c r="AP209" s="37"/>
      <c r="AQ209" s="36"/>
      <c r="AR209" s="37"/>
      <c r="AS209" s="36">
        <f t="shared" ref="AS209:AS214" si="231">SUM(AR209/12*2*$E209*$G209*$I209*$L209*AS$9)+(AR209/12*10*$F209*$G209*$I209*$L209*AS$9)</f>
        <v>0</v>
      </c>
      <c r="AT209" s="37"/>
      <c r="AU209" s="36">
        <f t="shared" ref="AU209:AU214" si="232">SUM(AT209/12*2*$E209*$G209*$I209*$L209*$AI$9)+(AT209/12*10*$F209*$G209*$I209*$L209*$AI$9)</f>
        <v>0</v>
      </c>
      <c r="AV209" s="37"/>
      <c r="AW209" s="36">
        <f t="shared" ref="AW209:AW214" si="233">SUM(AV209/12*2*$E209*$G209*$I209*$L209*AW$9)+(AV209/12*10*$F209*$G209*$I209*$L209*AW$9)</f>
        <v>0</v>
      </c>
      <c r="AX209" s="37"/>
      <c r="AY209" s="36">
        <f t="shared" ref="AY209:AY214" si="234">SUM(AX209/12*2*$E209*$G209*$I209*$L209*AY$9)+(AX209/12*10*$F209*$G209*$I209*$L209*AY$9)</f>
        <v>0</v>
      </c>
      <c r="AZ209" s="37"/>
      <c r="BA209" s="36">
        <f t="shared" ref="BA209:BA214" si="235">SUM(AZ209/12*2*$E209*$G209*$I209*$L209*BA$9)+(AZ209/12*10*$F209*$G209*$I209*$L209*BA$9)</f>
        <v>0</v>
      </c>
      <c r="BB209" s="36"/>
      <c r="BC209" s="36">
        <f t="shared" ref="BC209:BC214" si="236">SUM(BB209/12*2*$E209*$G209*$I209*$L209*BC$9)+(BB209/12*10*$F209*$G209*$I209*$L209*BC$9)</f>
        <v>0</v>
      </c>
      <c r="BD209" s="36">
        <v>14</v>
      </c>
      <c r="BE209" s="36">
        <f t="shared" ref="BE209:BE214" si="237">SUM(BD209/12*2*$E209*$G209*$I209*$L209*BE$9)+(BD209/12*10*$F209*$G209*$I209*$L209*BE$9)</f>
        <v>261767.14666666667</v>
      </c>
      <c r="BF209" s="37">
        <v>9</v>
      </c>
      <c r="BG209" s="39">
        <f t="shared" ref="BG209:BG214" si="238">(BF209/12*2*$E209*$G209*$I209*$M209*BG$9)+(BF209/12*10*$F209*$G209*$I209*$M209*BG$9)</f>
        <v>201934.65599999999</v>
      </c>
      <c r="BH209" s="60"/>
      <c r="BI209" s="36">
        <f t="shared" ref="BI209:BI214" si="239">(BH209/12*2*$E209*$G209*$I209*$M209*BI$9)+(BH209/12*10*$F209*$G209*$I209*$M209*BI$9)</f>
        <v>0</v>
      </c>
      <c r="BJ209" s="37"/>
      <c r="BK209" s="36">
        <f t="shared" ref="BK209:BK214" si="240">(BJ209/12*2*$E209*$G209*$I209*$M209*BK$9)+(BJ209/12*10*$F209*$G209*$I209*$M209*BK$9)</f>
        <v>0</v>
      </c>
      <c r="BL209" s="58">
        <v>5</v>
      </c>
      <c r="BM209" s="36">
        <f t="shared" ref="BM209:BM214" si="241">(BL209/12*2*$E209*$G209*$I209*$M209*BM$9)+(BL209/12*10*$F209*$G209*$I209*$M209*BM$9)</f>
        <v>112185.92000000001</v>
      </c>
      <c r="BN209" s="36">
        <v>9</v>
      </c>
      <c r="BO209" s="36">
        <f t="shared" ref="BO209:BO214" si="242">(BN209/12*10*$F209*$G209*$I209*$M209*BO$9)</f>
        <v>169626.23999999999</v>
      </c>
      <c r="BP209" s="59"/>
      <c r="BQ209" s="36"/>
      <c r="BR209" s="40"/>
      <c r="BS209" s="36">
        <f t="shared" ref="BS209:BS214" si="243">(BR209/12*10*$F209*$G209*$I209*$M209*BS$9)</f>
        <v>0</v>
      </c>
      <c r="BT209" s="37"/>
      <c r="BU209" s="36">
        <f t="shared" ref="BU209:BU214" si="244">(BT209/12*2*$E209*$G209*$I209*$M209*BU$9)+(BT209/12*10*$F209*$G209*$I209*$M209*BU$9)</f>
        <v>0</v>
      </c>
      <c r="BV209" s="36">
        <v>6</v>
      </c>
      <c r="BW209" s="36">
        <f t="shared" ref="BW209:BW214" si="245">(BV209/12*2*$E209*$G209*$I209*$M209*BW$9)+(BV209/12*10*$F209*$G209*$I209*$M209*BW$9)</f>
        <v>134623.10399999999</v>
      </c>
      <c r="BX209" s="37"/>
      <c r="BY209" s="36">
        <f t="shared" ref="BY209:BY214" si="246">(BX209/12*2*$E209*$G209*$I209*$M209*BY$9)+(BX209/12*10*$F209*$G209*$I209*$M209*BY$9)</f>
        <v>0</v>
      </c>
      <c r="BZ209" s="37"/>
      <c r="CA209" s="36">
        <f t="shared" ref="CA209:CA214" si="247">(BZ209/12*2*$E209*$G209*$I209*$M209*CA$9)+(BZ209/12*10*$F209*$G209*$I209*$M209*CA$9)</f>
        <v>0</v>
      </c>
      <c r="CB209" s="37"/>
      <c r="CC209" s="36">
        <f t="shared" ref="CC209:CC214" si="248">(CB209/12*2*$E209*$G209*$I209*$M209*CC$9)+(CB209/12*10*$F209*$G209*$I209*$M209*CC$9)</f>
        <v>0</v>
      </c>
      <c r="CD209" s="36">
        <v>2</v>
      </c>
      <c r="CE209" s="36">
        <f t="shared" ref="CE209:CE214" si="249">(CD209/12*2*$E209*$G209*$I209*$M209*CE$9)+(CD209/12*10*$F209*$G209*$I209*$M209*CE$9)</f>
        <v>44874.367999999995</v>
      </c>
      <c r="CF209" s="40"/>
      <c r="CG209" s="36">
        <f t="shared" ref="CG209:CG214" si="250">(CF209/12*2*$E209*$G209*$I209*$N209*CG$9)+(CF209/12*10*$F209*$G209*$I209*$N209*CG$9)</f>
        <v>0</v>
      </c>
      <c r="CH209" s="58">
        <v>15</v>
      </c>
      <c r="CI209" s="36">
        <f t="shared" ref="CI209:CI214" si="251">(CH209/12*2*$E209*$G209*$I209*$O209*$CI$9)+(CH209/12*10*$F209*$G209*$I209*$O209*$CI$9)</f>
        <v>514853.24</v>
      </c>
      <c r="CJ209" s="36"/>
      <c r="CK209" s="36"/>
      <c r="CL209" s="36"/>
      <c r="CM209" s="36"/>
      <c r="CN209" s="41"/>
      <c r="CO209" s="41"/>
      <c r="CP209" s="42">
        <f t="shared" ref="CP209:CQ214" si="252">SUM(R209+P209+T209+V209+AB209+Z209+X209+AF209+AD209+AH209+AJ209+BF209+BJ209+AL209+AT209+AV209+BT209+BV209+BR209+BX209+BZ209+BN209+AN209+AP209+AR209+BH209+BL209+AX209+AZ209+BB209+BD209+BP209+CB209+CD209+CF209+CH209+CJ209+CL209)</f>
        <v>98</v>
      </c>
      <c r="CQ209" s="42">
        <f t="shared" si="252"/>
        <v>2150375.5013333336</v>
      </c>
    </row>
    <row r="210" spans="1:95" s="3" customFormat="1" ht="30" hidden="1" customHeight="1" x14ac:dyDescent="0.25">
      <c r="A210" s="54"/>
      <c r="B210" s="54">
        <v>135</v>
      </c>
      <c r="C210" s="55" t="s">
        <v>533</v>
      </c>
      <c r="D210" s="121" t="s">
        <v>534</v>
      </c>
      <c r="E210" s="110">
        <v>16026</v>
      </c>
      <c r="F210" s="110">
        <v>16828</v>
      </c>
      <c r="G210" s="33">
        <v>2.1800000000000002</v>
      </c>
      <c r="H210" s="34"/>
      <c r="I210" s="35">
        <v>1</v>
      </c>
      <c r="J210" s="111"/>
      <c r="K210" s="35"/>
      <c r="L210" s="97">
        <v>1.4</v>
      </c>
      <c r="M210" s="97">
        <v>1.68</v>
      </c>
      <c r="N210" s="97">
        <v>2.23</v>
      </c>
      <c r="O210" s="97">
        <v>2.57</v>
      </c>
      <c r="P210" s="36">
        <v>1</v>
      </c>
      <c r="Q210" s="36">
        <f t="shared" si="220"/>
        <v>50951.105333333326</v>
      </c>
      <c r="R210" s="37">
        <v>0</v>
      </c>
      <c r="S210" s="36">
        <f t="shared" si="221"/>
        <v>0</v>
      </c>
      <c r="T210" s="36">
        <v>0</v>
      </c>
      <c r="U210" s="36">
        <f t="shared" si="222"/>
        <v>0</v>
      </c>
      <c r="V210" s="37">
        <v>0</v>
      </c>
      <c r="W210" s="36">
        <f t="shared" si="223"/>
        <v>0</v>
      </c>
      <c r="X210" s="37">
        <v>0</v>
      </c>
      <c r="Y210" s="38">
        <f t="shared" si="224"/>
        <v>0</v>
      </c>
      <c r="Z210" s="37"/>
      <c r="AA210" s="36"/>
      <c r="AB210" s="37">
        <v>0</v>
      </c>
      <c r="AC210" s="36">
        <f t="shared" si="225"/>
        <v>0</v>
      </c>
      <c r="AD210" s="37"/>
      <c r="AE210" s="36">
        <f t="shared" si="226"/>
        <v>0</v>
      </c>
      <c r="AF210" s="37">
        <v>0</v>
      </c>
      <c r="AG210" s="36">
        <f t="shared" si="227"/>
        <v>0</v>
      </c>
      <c r="AH210" s="37">
        <v>0</v>
      </c>
      <c r="AI210" s="36">
        <f t="shared" si="228"/>
        <v>0</v>
      </c>
      <c r="AJ210" s="36">
        <v>0</v>
      </c>
      <c r="AK210" s="36">
        <v>0</v>
      </c>
      <c r="AL210" s="37"/>
      <c r="AM210" s="36">
        <f t="shared" si="229"/>
        <v>0</v>
      </c>
      <c r="AN210" s="37">
        <v>0</v>
      </c>
      <c r="AO210" s="36">
        <f t="shared" si="230"/>
        <v>0</v>
      </c>
      <c r="AP210" s="37"/>
      <c r="AQ210" s="36"/>
      <c r="AR210" s="37"/>
      <c r="AS210" s="36">
        <f t="shared" si="231"/>
        <v>0</v>
      </c>
      <c r="AT210" s="37">
        <v>0</v>
      </c>
      <c r="AU210" s="36">
        <f t="shared" si="232"/>
        <v>0</v>
      </c>
      <c r="AV210" s="37">
        <v>0</v>
      </c>
      <c r="AW210" s="36">
        <f t="shared" si="233"/>
        <v>0</v>
      </c>
      <c r="AX210" s="37">
        <v>0</v>
      </c>
      <c r="AY210" s="36">
        <f t="shared" si="234"/>
        <v>0</v>
      </c>
      <c r="AZ210" s="37">
        <v>0</v>
      </c>
      <c r="BA210" s="36">
        <f t="shared" si="235"/>
        <v>0</v>
      </c>
      <c r="BB210" s="37">
        <v>0</v>
      </c>
      <c r="BC210" s="36">
        <f t="shared" si="236"/>
        <v>0</v>
      </c>
      <c r="BD210" s="37"/>
      <c r="BE210" s="36">
        <f t="shared" si="237"/>
        <v>0</v>
      </c>
      <c r="BF210" s="37">
        <v>0</v>
      </c>
      <c r="BG210" s="39">
        <f t="shared" si="238"/>
        <v>0</v>
      </c>
      <c r="BH210" s="60"/>
      <c r="BI210" s="36">
        <f t="shared" si="239"/>
        <v>0</v>
      </c>
      <c r="BJ210" s="37">
        <v>0</v>
      </c>
      <c r="BK210" s="36">
        <f t="shared" si="240"/>
        <v>0</v>
      </c>
      <c r="BL210" s="37">
        <v>0</v>
      </c>
      <c r="BM210" s="36">
        <f t="shared" si="241"/>
        <v>0</v>
      </c>
      <c r="BN210" s="37">
        <v>0</v>
      </c>
      <c r="BO210" s="36">
        <f t="shared" si="242"/>
        <v>0</v>
      </c>
      <c r="BP210" s="39"/>
      <c r="BQ210" s="36"/>
      <c r="BR210" s="36">
        <v>8</v>
      </c>
      <c r="BS210" s="36">
        <f t="shared" si="243"/>
        <v>410872.44799999997</v>
      </c>
      <c r="BT210" s="37">
        <v>0</v>
      </c>
      <c r="BU210" s="36">
        <f t="shared" si="244"/>
        <v>0</v>
      </c>
      <c r="BV210" s="36"/>
      <c r="BW210" s="36">
        <f t="shared" si="245"/>
        <v>0</v>
      </c>
      <c r="BX210" s="37">
        <v>0</v>
      </c>
      <c r="BY210" s="36">
        <f t="shared" si="246"/>
        <v>0</v>
      </c>
      <c r="BZ210" s="37"/>
      <c r="CA210" s="36">
        <f t="shared" si="247"/>
        <v>0</v>
      </c>
      <c r="CB210" s="37"/>
      <c r="CC210" s="36">
        <f t="shared" si="248"/>
        <v>0</v>
      </c>
      <c r="CD210" s="37">
        <v>0</v>
      </c>
      <c r="CE210" s="36">
        <f t="shared" si="249"/>
        <v>0</v>
      </c>
      <c r="CF210" s="37">
        <v>0</v>
      </c>
      <c r="CG210" s="36">
        <f t="shared" si="250"/>
        <v>0</v>
      </c>
      <c r="CH210" s="37">
        <v>0</v>
      </c>
      <c r="CI210" s="36">
        <f t="shared" si="251"/>
        <v>0</v>
      </c>
      <c r="CJ210" s="36"/>
      <c r="CK210" s="41">
        <f>(CJ210/12*3*$E210*$G210*$I210*$M210)+(CJ210/12*9*$F210*$G210*$I210*$M210)</f>
        <v>0</v>
      </c>
      <c r="CL210" s="41"/>
      <c r="CM210" s="41"/>
      <c r="CN210" s="41"/>
      <c r="CO210" s="41">
        <f>CN210*E210*G210*I210*L210</f>
        <v>0</v>
      </c>
      <c r="CP210" s="42">
        <f t="shared" si="252"/>
        <v>9</v>
      </c>
      <c r="CQ210" s="42">
        <f t="shared" si="252"/>
        <v>461823.55333333329</v>
      </c>
    </row>
    <row r="211" spans="1:95" s="3" customFormat="1" ht="30" hidden="1" customHeight="1" x14ac:dyDescent="0.25">
      <c r="A211" s="54"/>
      <c r="B211" s="54">
        <v>136</v>
      </c>
      <c r="C211" s="55" t="s">
        <v>535</v>
      </c>
      <c r="D211" s="121" t="s">
        <v>536</v>
      </c>
      <c r="E211" s="110">
        <v>16026</v>
      </c>
      <c r="F211" s="110">
        <v>16828</v>
      </c>
      <c r="G211" s="33">
        <v>2.58</v>
      </c>
      <c r="H211" s="34"/>
      <c r="I211" s="35">
        <v>1</v>
      </c>
      <c r="J211" s="111"/>
      <c r="K211" s="35"/>
      <c r="L211" s="97">
        <v>1.4</v>
      </c>
      <c r="M211" s="97">
        <v>1.68</v>
      </c>
      <c r="N211" s="97">
        <v>2.23</v>
      </c>
      <c r="O211" s="97">
        <v>2.57</v>
      </c>
      <c r="P211" s="36"/>
      <c r="Q211" s="36">
        <f t="shared" si="220"/>
        <v>0</v>
      </c>
      <c r="R211" s="37">
        <v>0</v>
      </c>
      <c r="S211" s="36">
        <f t="shared" si="221"/>
        <v>0</v>
      </c>
      <c r="T211" s="36">
        <v>0</v>
      </c>
      <c r="U211" s="36">
        <f t="shared" si="222"/>
        <v>0</v>
      </c>
      <c r="V211" s="37">
        <v>0</v>
      </c>
      <c r="W211" s="36">
        <f t="shared" si="223"/>
        <v>0</v>
      </c>
      <c r="X211" s="37">
        <v>0</v>
      </c>
      <c r="Y211" s="38">
        <f t="shared" si="224"/>
        <v>0</v>
      </c>
      <c r="Z211" s="37"/>
      <c r="AA211" s="36"/>
      <c r="AB211" s="37"/>
      <c r="AC211" s="36">
        <f t="shared" si="225"/>
        <v>0</v>
      </c>
      <c r="AD211" s="37"/>
      <c r="AE211" s="36">
        <f t="shared" si="226"/>
        <v>0</v>
      </c>
      <c r="AF211" s="37">
        <v>0</v>
      </c>
      <c r="AG211" s="36">
        <f t="shared" si="227"/>
        <v>0</v>
      </c>
      <c r="AH211" s="37">
        <v>0</v>
      </c>
      <c r="AI211" s="36">
        <f t="shared" si="228"/>
        <v>0</v>
      </c>
      <c r="AJ211" s="36">
        <v>0</v>
      </c>
      <c r="AK211" s="36">
        <v>0</v>
      </c>
      <c r="AL211" s="37"/>
      <c r="AM211" s="36">
        <f t="shared" si="229"/>
        <v>0</v>
      </c>
      <c r="AN211" s="37">
        <v>0</v>
      </c>
      <c r="AO211" s="36">
        <f t="shared" si="230"/>
        <v>0</v>
      </c>
      <c r="AP211" s="37"/>
      <c r="AQ211" s="36"/>
      <c r="AR211" s="37"/>
      <c r="AS211" s="36">
        <f t="shared" si="231"/>
        <v>0</v>
      </c>
      <c r="AT211" s="37">
        <v>0</v>
      </c>
      <c r="AU211" s="36">
        <f t="shared" si="232"/>
        <v>0</v>
      </c>
      <c r="AV211" s="37">
        <v>0</v>
      </c>
      <c r="AW211" s="36">
        <f t="shared" si="233"/>
        <v>0</v>
      </c>
      <c r="AX211" s="37">
        <v>0</v>
      </c>
      <c r="AY211" s="36">
        <f t="shared" si="234"/>
        <v>0</v>
      </c>
      <c r="AZ211" s="37">
        <v>0</v>
      </c>
      <c r="BA211" s="36">
        <f t="shared" si="235"/>
        <v>0</v>
      </c>
      <c r="BB211" s="37">
        <v>0</v>
      </c>
      <c r="BC211" s="36">
        <f t="shared" si="236"/>
        <v>0</v>
      </c>
      <c r="BD211" s="37"/>
      <c r="BE211" s="36">
        <f t="shared" si="237"/>
        <v>0</v>
      </c>
      <c r="BF211" s="37">
        <v>0</v>
      </c>
      <c r="BG211" s="39">
        <f t="shared" si="238"/>
        <v>0</v>
      </c>
      <c r="BH211" s="60"/>
      <c r="BI211" s="36">
        <f t="shared" si="239"/>
        <v>0</v>
      </c>
      <c r="BJ211" s="37">
        <v>0</v>
      </c>
      <c r="BK211" s="36">
        <f t="shared" si="240"/>
        <v>0</v>
      </c>
      <c r="BL211" s="37">
        <v>0</v>
      </c>
      <c r="BM211" s="36">
        <f t="shared" si="241"/>
        <v>0</v>
      </c>
      <c r="BN211" s="37">
        <v>0</v>
      </c>
      <c r="BO211" s="36">
        <f t="shared" si="242"/>
        <v>0</v>
      </c>
      <c r="BP211" s="39"/>
      <c r="BQ211" s="36"/>
      <c r="BR211" s="37">
        <v>0</v>
      </c>
      <c r="BS211" s="36">
        <f t="shared" si="243"/>
        <v>0</v>
      </c>
      <c r="BT211" s="37">
        <v>0</v>
      </c>
      <c r="BU211" s="36">
        <f t="shared" si="244"/>
        <v>0</v>
      </c>
      <c r="BV211" s="36">
        <v>0</v>
      </c>
      <c r="BW211" s="36">
        <f t="shared" si="245"/>
        <v>0</v>
      </c>
      <c r="BX211" s="37">
        <v>0</v>
      </c>
      <c r="BY211" s="36">
        <f t="shared" si="246"/>
        <v>0</v>
      </c>
      <c r="BZ211" s="37"/>
      <c r="CA211" s="36">
        <f t="shared" si="247"/>
        <v>0</v>
      </c>
      <c r="CB211" s="37"/>
      <c r="CC211" s="36">
        <f t="shared" si="248"/>
        <v>0</v>
      </c>
      <c r="CD211" s="37">
        <v>0</v>
      </c>
      <c r="CE211" s="36">
        <f t="shared" si="249"/>
        <v>0</v>
      </c>
      <c r="CF211" s="37">
        <v>0</v>
      </c>
      <c r="CG211" s="36">
        <f t="shared" si="250"/>
        <v>0</v>
      </c>
      <c r="CH211" s="37">
        <v>0</v>
      </c>
      <c r="CI211" s="36">
        <f t="shared" si="251"/>
        <v>0</v>
      </c>
      <c r="CJ211" s="36"/>
      <c r="CK211" s="41">
        <f>(CJ211/12*3*$E211*$G211*$I211*$M211)+(CJ211/12*9*$F211*$G211*$I211*$M211)</f>
        <v>0</v>
      </c>
      <c r="CL211" s="41"/>
      <c r="CM211" s="41"/>
      <c r="CN211" s="41"/>
      <c r="CO211" s="41">
        <f>CN211*E211*G211*I211*L211</f>
        <v>0</v>
      </c>
      <c r="CP211" s="42">
        <f t="shared" si="252"/>
        <v>0</v>
      </c>
      <c r="CQ211" s="42">
        <f t="shared" si="252"/>
        <v>0</v>
      </c>
    </row>
    <row r="212" spans="1:95" s="3" customFormat="1" ht="30" hidden="1" customHeight="1" x14ac:dyDescent="0.25">
      <c r="A212" s="54"/>
      <c r="B212" s="54">
        <v>137</v>
      </c>
      <c r="C212" s="55" t="s">
        <v>537</v>
      </c>
      <c r="D212" s="121" t="s">
        <v>538</v>
      </c>
      <c r="E212" s="110">
        <v>16026</v>
      </c>
      <c r="F212" s="110">
        <v>16828</v>
      </c>
      <c r="G212" s="33">
        <v>1.97</v>
      </c>
      <c r="H212" s="34"/>
      <c r="I212" s="35">
        <v>1</v>
      </c>
      <c r="J212" s="111"/>
      <c r="K212" s="35"/>
      <c r="L212" s="97">
        <v>1.4</v>
      </c>
      <c r="M212" s="97">
        <v>1.68</v>
      </c>
      <c r="N212" s="97">
        <v>2.23</v>
      </c>
      <c r="O212" s="97">
        <v>2.57</v>
      </c>
      <c r="P212" s="36">
        <v>3</v>
      </c>
      <c r="Q212" s="36">
        <f t="shared" si="220"/>
        <v>138128.91399999999</v>
      </c>
      <c r="R212" s="37">
        <v>0</v>
      </c>
      <c r="S212" s="36">
        <f t="shared" si="221"/>
        <v>0</v>
      </c>
      <c r="T212" s="36">
        <v>0</v>
      </c>
      <c r="U212" s="36">
        <f t="shared" si="222"/>
        <v>0</v>
      </c>
      <c r="V212" s="37">
        <v>0</v>
      </c>
      <c r="W212" s="36">
        <f t="shared" si="223"/>
        <v>0</v>
      </c>
      <c r="X212" s="37">
        <v>0</v>
      </c>
      <c r="Y212" s="38">
        <f t="shared" si="224"/>
        <v>0</v>
      </c>
      <c r="Z212" s="37"/>
      <c r="AA212" s="36"/>
      <c r="AB212" s="37">
        <v>0</v>
      </c>
      <c r="AC212" s="36">
        <f t="shared" si="225"/>
        <v>0</v>
      </c>
      <c r="AD212" s="37"/>
      <c r="AE212" s="36">
        <f t="shared" si="226"/>
        <v>0</v>
      </c>
      <c r="AF212" s="37">
        <v>0</v>
      </c>
      <c r="AG212" s="36">
        <f t="shared" si="227"/>
        <v>0</v>
      </c>
      <c r="AH212" s="37">
        <v>0</v>
      </c>
      <c r="AI212" s="36">
        <f t="shared" si="228"/>
        <v>0</v>
      </c>
      <c r="AJ212" s="36">
        <v>0</v>
      </c>
      <c r="AK212" s="36">
        <v>0</v>
      </c>
      <c r="AL212" s="37"/>
      <c r="AM212" s="36">
        <f t="shared" si="229"/>
        <v>0</v>
      </c>
      <c r="AN212" s="37">
        <v>0</v>
      </c>
      <c r="AO212" s="36">
        <f t="shared" si="230"/>
        <v>0</v>
      </c>
      <c r="AP212" s="37"/>
      <c r="AQ212" s="36"/>
      <c r="AR212" s="37"/>
      <c r="AS212" s="36">
        <f t="shared" si="231"/>
        <v>0</v>
      </c>
      <c r="AT212" s="37">
        <v>0</v>
      </c>
      <c r="AU212" s="36">
        <f t="shared" si="232"/>
        <v>0</v>
      </c>
      <c r="AV212" s="37">
        <v>0</v>
      </c>
      <c r="AW212" s="36">
        <f t="shared" si="233"/>
        <v>0</v>
      </c>
      <c r="AX212" s="37">
        <v>0</v>
      </c>
      <c r="AY212" s="36">
        <f t="shared" si="234"/>
        <v>0</v>
      </c>
      <c r="AZ212" s="37">
        <v>0</v>
      </c>
      <c r="BA212" s="36">
        <f t="shared" si="235"/>
        <v>0</v>
      </c>
      <c r="BB212" s="37">
        <v>0</v>
      </c>
      <c r="BC212" s="36">
        <f t="shared" si="236"/>
        <v>0</v>
      </c>
      <c r="BD212" s="37"/>
      <c r="BE212" s="36">
        <f t="shared" si="237"/>
        <v>0</v>
      </c>
      <c r="BF212" s="37">
        <v>2</v>
      </c>
      <c r="BG212" s="39">
        <f t="shared" si="238"/>
        <v>110503.13119999999</v>
      </c>
      <c r="BH212" s="60"/>
      <c r="BI212" s="36">
        <f t="shared" si="239"/>
        <v>0</v>
      </c>
      <c r="BJ212" s="37">
        <v>0</v>
      </c>
      <c r="BK212" s="36">
        <f t="shared" si="240"/>
        <v>0</v>
      </c>
      <c r="BL212" s="37">
        <v>0</v>
      </c>
      <c r="BM212" s="36">
        <f t="shared" si="241"/>
        <v>0</v>
      </c>
      <c r="BN212" s="37">
        <v>0</v>
      </c>
      <c r="BO212" s="36">
        <f t="shared" si="242"/>
        <v>0</v>
      </c>
      <c r="BP212" s="39"/>
      <c r="BQ212" s="36"/>
      <c r="BR212" s="37">
        <v>0</v>
      </c>
      <c r="BS212" s="36">
        <f t="shared" si="243"/>
        <v>0</v>
      </c>
      <c r="BT212" s="37">
        <v>0</v>
      </c>
      <c r="BU212" s="36">
        <f t="shared" si="244"/>
        <v>0</v>
      </c>
      <c r="BV212" s="36">
        <v>0</v>
      </c>
      <c r="BW212" s="36">
        <f t="shared" si="245"/>
        <v>0</v>
      </c>
      <c r="BX212" s="37">
        <v>0</v>
      </c>
      <c r="BY212" s="36">
        <f t="shared" si="246"/>
        <v>0</v>
      </c>
      <c r="BZ212" s="37"/>
      <c r="CA212" s="36">
        <f t="shared" si="247"/>
        <v>0</v>
      </c>
      <c r="CB212" s="37"/>
      <c r="CC212" s="36">
        <f t="shared" si="248"/>
        <v>0</v>
      </c>
      <c r="CD212" s="37">
        <v>0</v>
      </c>
      <c r="CE212" s="36">
        <f t="shared" si="249"/>
        <v>0</v>
      </c>
      <c r="CF212" s="37">
        <v>0</v>
      </c>
      <c r="CG212" s="36">
        <f t="shared" si="250"/>
        <v>0</v>
      </c>
      <c r="CH212" s="37">
        <v>0</v>
      </c>
      <c r="CI212" s="36">
        <f t="shared" si="251"/>
        <v>0</v>
      </c>
      <c r="CJ212" s="36"/>
      <c r="CK212" s="41">
        <f>(CJ212/12*3*$E212*$G212*$I212*$M212)+(CJ212/12*9*$F212*$G212*$I212*$M212)</f>
        <v>0</v>
      </c>
      <c r="CL212" s="41"/>
      <c r="CM212" s="41"/>
      <c r="CN212" s="41"/>
      <c r="CO212" s="41">
        <f>CN212*E212*G212*I212*L212</f>
        <v>0</v>
      </c>
      <c r="CP212" s="42">
        <f t="shared" si="252"/>
        <v>5</v>
      </c>
      <c r="CQ212" s="42">
        <f t="shared" si="252"/>
        <v>248632.04519999999</v>
      </c>
    </row>
    <row r="213" spans="1:95" s="3" customFormat="1" ht="30" hidden="1" customHeight="1" x14ac:dyDescent="0.25">
      <c r="A213" s="54"/>
      <c r="B213" s="54">
        <v>138</v>
      </c>
      <c r="C213" s="55" t="s">
        <v>539</v>
      </c>
      <c r="D213" s="121" t="s">
        <v>540</v>
      </c>
      <c r="E213" s="110">
        <v>16026</v>
      </c>
      <c r="F213" s="110">
        <v>16828</v>
      </c>
      <c r="G213" s="33">
        <v>2.04</v>
      </c>
      <c r="H213" s="34"/>
      <c r="I213" s="35">
        <v>1</v>
      </c>
      <c r="J213" s="111"/>
      <c r="K213" s="35"/>
      <c r="L213" s="97">
        <v>1.4</v>
      </c>
      <c r="M213" s="97">
        <v>1.68</v>
      </c>
      <c r="N213" s="97">
        <v>2.23</v>
      </c>
      <c r="O213" s="97">
        <v>2.57</v>
      </c>
      <c r="P213" s="36"/>
      <c r="Q213" s="36">
        <f t="shared" si="220"/>
        <v>0</v>
      </c>
      <c r="R213" s="37">
        <v>0</v>
      </c>
      <c r="S213" s="36">
        <f t="shared" si="221"/>
        <v>0</v>
      </c>
      <c r="T213" s="36">
        <v>0</v>
      </c>
      <c r="U213" s="36">
        <f t="shared" si="222"/>
        <v>0</v>
      </c>
      <c r="V213" s="37">
        <v>0</v>
      </c>
      <c r="W213" s="36">
        <f t="shared" si="223"/>
        <v>0</v>
      </c>
      <c r="X213" s="37">
        <v>0</v>
      </c>
      <c r="Y213" s="38">
        <f t="shared" si="224"/>
        <v>0</v>
      </c>
      <c r="Z213" s="37"/>
      <c r="AA213" s="36"/>
      <c r="AB213" s="37"/>
      <c r="AC213" s="36">
        <f t="shared" si="225"/>
        <v>0</v>
      </c>
      <c r="AD213" s="37"/>
      <c r="AE213" s="36">
        <f t="shared" si="226"/>
        <v>0</v>
      </c>
      <c r="AF213" s="37"/>
      <c r="AG213" s="36">
        <f t="shared" si="227"/>
        <v>0</v>
      </c>
      <c r="AH213" s="37">
        <v>0</v>
      </c>
      <c r="AI213" s="36">
        <f t="shared" si="228"/>
        <v>0</v>
      </c>
      <c r="AJ213" s="36">
        <v>0</v>
      </c>
      <c r="AK213" s="36">
        <v>0</v>
      </c>
      <c r="AL213" s="37"/>
      <c r="AM213" s="36">
        <f t="shared" si="229"/>
        <v>0</v>
      </c>
      <c r="AN213" s="37">
        <v>0</v>
      </c>
      <c r="AO213" s="36">
        <f t="shared" si="230"/>
        <v>0</v>
      </c>
      <c r="AP213" s="37"/>
      <c r="AQ213" s="36"/>
      <c r="AR213" s="37"/>
      <c r="AS213" s="36">
        <f t="shared" si="231"/>
        <v>0</v>
      </c>
      <c r="AT213" s="37">
        <v>0</v>
      </c>
      <c r="AU213" s="36">
        <f t="shared" si="232"/>
        <v>0</v>
      </c>
      <c r="AV213" s="37">
        <v>0</v>
      </c>
      <c r="AW213" s="36">
        <f t="shared" si="233"/>
        <v>0</v>
      </c>
      <c r="AX213" s="37">
        <v>0</v>
      </c>
      <c r="AY213" s="36">
        <f t="shared" si="234"/>
        <v>0</v>
      </c>
      <c r="AZ213" s="37">
        <v>0</v>
      </c>
      <c r="BA213" s="36">
        <f t="shared" si="235"/>
        <v>0</v>
      </c>
      <c r="BB213" s="37">
        <v>0</v>
      </c>
      <c r="BC213" s="36">
        <f t="shared" si="236"/>
        <v>0</v>
      </c>
      <c r="BD213" s="37"/>
      <c r="BE213" s="36">
        <f t="shared" si="237"/>
        <v>0</v>
      </c>
      <c r="BF213" s="37">
        <v>0</v>
      </c>
      <c r="BG213" s="39">
        <f t="shared" si="238"/>
        <v>0</v>
      </c>
      <c r="BH213" s="60"/>
      <c r="BI213" s="36">
        <f t="shared" si="239"/>
        <v>0</v>
      </c>
      <c r="BJ213" s="37">
        <v>0</v>
      </c>
      <c r="BK213" s="36">
        <f t="shared" si="240"/>
        <v>0</v>
      </c>
      <c r="BL213" s="37">
        <v>0</v>
      </c>
      <c r="BM213" s="36">
        <f t="shared" si="241"/>
        <v>0</v>
      </c>
      <c r="BN213" s="37">
        <v>0</v>
      </c>
      <c r="BO213" s="36">
        <f t="shared" si="242"/>
        <v>0</v>
      </c>
      <c r="BP213" s="39"/>
      <c r="BQ213" s="36"/>
      <c r="BR213" s="37">
        <v>0</v>
      </c>
      <c r="BS213" s="36">
        <f t="shared" si="243"/>
        <v>0</v>
      </c>
      <c r="BT213" s="37">
        <v>0</v>
      </c>
      <c r="BU213" s="36">
        <f t="shared" si="244"/>
        <v>0</v>
      </c>
      <c r="BV213" s="36">
        <v>0</v>
      </c>
      <c r="BW213" s="36">
        <f t="shared" si="245"/>
        <v>0</v>
      </c>
      <c r="BX213" s="37">
        <v>0</v>
      </c>
      <c r="BY213" s="36">
        <f t="shared" si="246"/>
        <v>0</v>
      </c>
      <c r="BZ213" s="37"/>
      <c r="CA213" s="36">
        <f t="shared" si="247"/>
        <v>0</v>
      </c>
      <c r="CB213" s="37"/>
      <c r="CC213" s="36">
        <f t="shared" si="248"/>
        <v>0</v>
      </c>
      <c r="CD213" s="37">
        <v>0</v>
      </c>
      <c r="CE213" s="36">
        <f t="shared" si="249"/>
        <v>0</v>
      </c>
      <c r="CF213" s="37">
        <v>0</v>
      </c>
      <c r="CG213" s="36">
        <f t="shared" si="250"/>
        <v>0</v>
      </c>
      <c r="CH213" s="37">
        <v>0</v>
      </c>
      <c r="CI213" s="36">
        <f t="shared" si="251"/>
        <v>0</v>
      </c>
      <c r="CJ213" s="36"/>
      <c r="CK213" s="41">
        <f>(CJ213/12*3*$E213*$G213*$I213*$M213)+(CJ213/12*9*$F213*$G213*$I213*$M213)</f>
        <v>0</v>
      </c>
      <c r="CL213" s="41"/>
      <c r="CM213" s="41"/>
      <c r="CN213" s="41"/>
      <c r="CO213" s="41"/>
      <c r="CP213" s="42">
        <f t="shared" si="252"/>
        <v>0</v>
      </c>
      <c r="CQ213" s="42">
        <f t="shared" si="252"/>
        <v>0</v>
      </c>
    </row>
    <row r="214" spans="1:95" s="3" customFormat="1" ht="30" hidden="1" customHeight="1" x14ac:dyDescent="0.25">
      <c r="A214" s="54"/>
      <c r="B214" s="54">
        <v>139</v>
      </c>
      <c r="C214" s="55" t="s">
        <v>541</v>
      </c>
      <c r="D214" s="121" t="s">
        <v>542</v>
      </c>
      <c r="E214" s="110">
        <v>16026</v>
      </c>
      <c r="F214" s="110">
        <v>16828</v>
      </c>
      <c r="G214" s="33">
        <v>2.95</v>
      </c>
      <c r="H214" s="34"/>
      <c r="I214" s="35">
        <v>1</v>
      </c>
      <c r="J214" s="111"/>
      <c r="K214" s="35"/>
      <c r="L214" s="97">
        <v>1.4</v>
      </c>
      <c r="M214" s="97">
        <v>1.68</v>
      </c>
      <c r="N214" s="97">
        <v>2.23</v>
      </c>
      <c r="O214" s="97">
        <v>2.57</v>
      </c>
      <c r="P214" s="36"/>
      <c r="Q214" s="36">
        <f t="shared" si="220"/>
        <v>0</v>
      </c>
      <c r="R214" s="37">
        <v>0</v>
      </c>
      <c r="S214" s="36">
        <f t="shared" si="221"/>
        <v>0</v>
      </c>
      <c r="T214" s="36">
        <v>0</v>
      </c>
      <c r="U214" s="36">
        <f t="shared" si="222"/>
        <v>0</v>
      </c>
      <c r="V214" s="37">
        <v>0</v>
      </c>
      <c r="W214" s="36">
        <f t="shared" si="223"/>
        <v>0</v>
      </c>
      <c r="X214" s="37">
        <v>0</v>
      </c>
      <c r="Y214" s="38">
        <f t="shared" si="224"/>
        <v>0</v>
      </c>
      <c r="Z214" s="37"/>
      <c r="AA214" s="36"/>
      <c r="AB214" s="37"/>
      <c r="AC214" s="36">
        <f t="shared" si="225"/>
        <v>0</v>
      </c>
      <c r="AD214" s="37"/>
      <c r="AE214" s="36">
        <f t="shared" si="226"/>
        <v>0</v>
      </c>
      <c r="AF214" s="37"/>
      <c r="AG214" s="36">
        <f t="shared" si="227"/>
        <v>0</v>
      </c>
      <c r="AH214" s="37">
        <v>0</v>
      </c>
      <c r="AI214" s="36">
        <f t="shared" si="228"/>
        <v>0</v>
      </c>
      <c r="AJ214" s="36">
        <v>0</v>
      </c>
      <c r="AK214" s="36">
        <v>0</v>
      </c>
      <c r="AL214" s="37"/>
      <c r="AM214" s="36">
        <f t="shared" si="229"/>
        <v>0</v>
      </c>
      <c r="AN214" s="37">
        <v>0</v>
      </c>
      <c r="AO214" s="36">
        <f t="shared" si="230"/>
        <v>0</v>
      </c>
      <c r="AP214" s="37"/>
      <c r="AQ214" s="36"/>
      <c r="AR214" s="37"/>
      <c r="AS214" s="36">
        <f t="shared" si="231"/>
        <v>0</v>
      </c>
      <c r="AT214" s="37">
        <v>0</v>
      </c>
      <c r="AU214" s="36">
        <f t="shared" si="232"/>
        <v>0</v>
      </c>
      <c r="AV214" s="37">
        <v>0</v>
      </c>
      <c r="AW214" s="36">
        <f t="shared" si="233"/>
        <v>0</v>
      </c>
      <c r="AX214" s="37">
        <v>0</v>
      </c>
      <c r="AY214" s="36">
        <f t="shared" si="234"/>
        <v>0</v>
      </c>
      <c r="AZ214" s="37">
        <v>0</v>
      </c>
      <c r="BA214" s="36">
        <f t="shared" si="235"/>
        <v>0</v>
      </c>
      <c r="BB214" s="37">
        <v>0</v>
      </c>
      <c r="BC214" s="36">
        <f t="shared" si="236"/>
        <v>0</v>
      </c>
      <c r="BD214" s="37"/>
      <c r="BE214" s="36">
        <f t="shared" si="237"/>
        <v>0</v>
      </c>
      <c r="BF214" s="37">
        <v>0</v>
      </c>
      <c r="BG214" s="39">
        <f t="shared" si="238"/>
        <v>0</v>
      </c>
      <c r="BH214" s="60"/>
      <c r="BI214" s="36">
        <f t="shared" si="239"/>
        <v>0</v>
      </c>
      <c r="BJ214" s="37">
        <v>0</v>
      </c>
      <c r="BK214" s="36">
        <f t="shared" si="240"/>
        <v>0</v>
      </c>
      <c r="BL214" s="37">
        <v>0</v>
      </c>
      <c r="BM214" s="36">
        <f t="shared" si="241"/>
        <v>0</v>
      </c>
      <c r="BN214" s="37">
        <v>0</v>
      </c>
      <c r="BO214" s="36">
        <f t="shared" si="242"/>
        <v>0</v>
      </c>
      <c r="BP214" s="39"/>
      <c r="BQ214" s="36"/>
      <c r="BR214" s="37">
        <v>0</v>
      </c>
      <c r="BS214" s="36">
        <f t="shared" si="243"/>
        <v>0</v>
      </c>
      <c r="BT214" s="37">
        <v>0</v>
      </c>
      <c r="BU214" s="36">
        <f t="shared" si="244"/>
        <v>0</v>
      </c>
      <c r="BV214" s="36">
        <v>0</v>
      </c>
      <c r="BW214" s="36">
        <f t="shared" si="245"/>
        <v>0</v>
      </c>
      <c r="BX214" s="37">
        <v>0</v>
      </c>
      <c r="BY214" s="36">
        <f t="shared" si="246"/>
        <v>0</v>
      </c>
      <c r="BZ214" s="37"/>
      <c r="CA214" s="36">
        <f t="shared" si="247"/>
        <v>0</v>
      </c>
      <c r="CB214" s="37"/>
      <c r="CC214" s="36">
        <f t="shared" si="248"/>
        <v>0</v>
      </c>
      <c r="CD214" s="37">
        <v>0</v>
      </c>
      <c r="CE214" s="36">
        <f t="shared" si="249"/>
        <v>0</v>
      </c>
      <c r="CF214" s="37">
        <v>0</v>
      </c>
      <c r="CG214" s="36">
        <f t="shared" si="250"/>
        <v>0</v>
      </c>
      <c r="CH214" s="37">
        <v>0</v>
      </c>
      <c r="CI214" s="36">
        <f t="shared" si="251"/>
        <v>0</v>
      </c>
      <c r="CJ214" s="36"/>
      <c r="CK214" s="41">
        <f>(CJ214/12*3*$E214*$G214*$I214*$M214)+(CJ214/12*9*$F214*$G214*$I214*$M214)</f>
        <v>0</v>
      </c>
      <c r="CL214" s="41"/>
      <c r="CM214" s="41"/>
      <c r="CN214" s="41"/>
      <c r="CO214" s="41"/>
      <c r="CP214" s="42">
        <f t="shared" si="252"/>
        <v>0</v>
      </c>
      <c r="CQ214" s="42">
        <f t="shared" si="252"/>
        <v>0</v>
      </c>
    </row>
    <row r="215" spans="1:95" ht="18.75" hidden="1" customHeight="1" x14ac:dyDescent="0.25">
      <c r="A215" s="124">
        <v>31</v>
      </c>
      <c r="B215" s="124"/>
      <c r="C215" s="149" t="s">
        <v>543</v>
      </c>
      <c r="D215" s="141" t="s">
        <v>544</v>
      </c>
      <c r="E215" s="110">
        <v>16026</v>
      </c>
      <c r="F215" s="134">
        <v>16828</v>
      </c>
      <c r="G215" s="138">
        <v>0.92</v>
      </c>
      <c r="H215" s="136"/>
      <c r="I215" s="128"/>
      <c r="J215" s="129"/>
      <c r="K215" s="29"/>
      <c r="L215" s="97">
        <v>1.4</v>
      </c>
      <c r="M215" s="97">
        <v>1.68</v>
      </c>
      <c r="N215" s="97">
        <v>2.23</v>
      </c>
      <c r="O215" s="97">
        <v>2.57</v>
      </c>
      <c r="P215" s="139">
        <f>SUM(P216:P221)</f>
        <v>16</v>
      </c>
      <c r="Q215" s="139">
        <f t="shared" ref="Q215:BH215" si="253">SUM(Q216:Q221)</f>
        <v>352649.32500000001</v>
      </c>
      <c r="R215" s="139">
        <f t="shared" si="253"/>
        <v>76</v>
      </c>
      <c r="S215" s="139">
        <f t="shared" si="253"/>
        <v>1748429.0399333329</v>
      </c>
      <c r="T215" s="139">
        <f t="shared" si="253"/>
        <v>0</v>
      </c>
      <c r="U215" s="139">
        <f t="shared" si="253"/>
        <v>0</v>
      </c>
      <c r="V215" s="139">
        <f t="shared" si="253"/>
        <v>0</v>
      </c>
      <c r="W215" s="139">
        <f t="shared" si="253"/>
        <v>0</v>
      </c>
      <c r="X215" s="139">
        <f t="shared" si="253"/>
        <v>0</v>
      </c>
      <c r="Y215" s="139">
        <f t="shared" si="253"/>
        <v>0</v>
      </c>
      <c r="Z215" s="139">
        <f t="shared" si="253"/>
        <v>0</v>
      </c>
      <c r="AA215" s="139">
        <f t="shared" si="253"/>
        <v>0</v>
      </c>
      <c r="AB215" s="139">
        <f t="shared" si="253"/>
        <v>0</v>
      </c>
      <c r="AC215" s="139">
        <f t="shared" si="253"/>
        <v>0</v>
      </c>
      <c r="AD215" s="139">
        <f t="shared" si="253"/>
        <v>20</v>
      </c>
      <c r="AE215" s="139">
        <f t="shared" si="253"/>
        <v>391832.58333333331</v>
      </c>
      <c r="AF215" s="139">
        <f t="shared" si="253"/>
        <v>0</v>
      </c>
      <c r="AG215" s="139">
        <f t="shared" si="253"/>
        <v>0</v>
      </c>
      <c r="AH215" s="139">
        <f>SUM(AH216:AH221)</f>
        <v>46</v>
      </c>
      <c r="AI215" s="139">
        <f t="shared" si="253"/>
        <v>1146722.0771999997</v>
      </c>
      <c r="AJ215" s="139">
        <v>33</v>
      </c>
      <c r="AK215" s="139">
        <v>785962.19999999984</v>
      </c>
      <c r="AL215" s="139">
        <f t="shared" si="253"/>
        <v>0</v>
      </c>
      <c r="AM215" s="139">
        <f t="shared" si="253"/>
        <v>0</v>
      </c>
      <c r="AN215" s="139">
        <f t="shared" si="253"/>
        <v>0</v>
      </c>
      <c r="AO215" s="139">
        <f t="shared" si="253"/>
        <v>0</v>
      </c>
      <c r="AP215" s="139">
        <f t="shared" si="253"/>
        <v>0</v>
      </c>
      <c r="AQ215" s="139">
        <f t="shared" si="253"/>
        <v>0</v>
      </c>
      <c r="AR215" s="139">
        <f t="shared" si="253"/>
        <v>0</v>
      </c>
      <c r="AS215" s="139">
        <f t="shared" si="253"/>
        <v>0</v>
      </c>
      <c r="AT215" s="139">
        <f t="shared" si="253"/>
        <v>0</v>
      </c>
      <c r="AU215" s="139">
        <f t="shared" si="253"/>
        <v>0</v>
      </c>
      <c r="AV215" s="139">
        <f t="shared" si="253"/>
        <v>33</v>
      </c>
      <c r="AW215" s="139">
        <f t="shared" si="253"/>
        <v>598944.09166666656</v>
      </c>
      <c r="AX215" s="139">
        <f t="shared" si="253"/>
        <v>196</v>
      </c>
      <c r="AY215" s="139">
        <f t="shared" si="253"/>
        <v>3716811.9333333327</v>
      </c>
      <c r="AZ215" s="139">
        <f t="shared" si="253"/>
        <v>0</v>
      </c>
      <c r="BA215" s="139">
        <f>SUM(BA216:BA221)</f>
        <v>0</v>
      </c>
      <c r="BB215" s="139">
        <f t="shared" si="253"/>
        <v>0</v>
      </c>
      <c r="BC215" s="139">
        <f>SUM(BC216:BC221)</f>
        <v>0</v>
      </c>
      <c r="BD215" s="139">
        <f t="shared" si="253"/>
        <v>41</v>
      </c>
      <c r="BE215" s="139">
        <f t="shared" si="253"/>
        <v>862031.68333333335</v>
      </c>
      <c r="BF215" s="139">
        <f t="shared" si="253"/>
        <v>155</v>
      </c>
      <c r="BG215" s="139">
        <f t="shared" si="253"/>
        <v>3639288.3211999992</v>
      </c>
      <c r="BH215" s="139">
        <f t="shared" si="253"/>
        <v>0</v>
      </c>
      <c r="BI215" s="139">
        <f>SUM(BI216:BI221)</f>
        <v>0</v>
      </c>
      <c r="BJ215" s="139">
        <f t="shared" ref="BJ215:BT215" si="254">SUM(BJ216:BJ221)</f>
        <v>68</v>
      </c>
      <c r="BK215" s="139">
        <f t="shared" si="254"/>
        <v>1578525.5500000003</v>
      </c>
      <c r="BL215" s="139">
        <f t="shared" si="254"/>
        <v>0</v>
      </c>
      <c r="BM215" s="139">
        <f t="shared" si="254"/>
        <v>0</v>
      </c>
      <c r="BN215" s="139">
        <f t="shared" si="254"/>
        <v>15</v>
      </c>
      <c r="BO215" s="139">
        <f>SUM(BO216:BO221)</f>
        <v>285360.81</v>
      </c>
      <c r="BP215" s="139">
        <f t="shared" si="254"/>
        <v>0</v>
      </c>
      <c r="BQ215" s="139">
        <f>SUM(BQ216:BQ221)</f>
        <v>0</v>
      </c>
      <c r="BR215" s="139">
        <f t="shared" si="254"/>
        <v>85</v>
      </c>
      <c r="BS215" s="139">
        <f>SUM(BS216:BS221)</f>
        <v>1426804.05</v>
      </c>
      <c r="BT215" s="139">
        <f t="shared" si="254"/>
        <v>0</v>
      </c>
      <c r="BU215" s="139">
        <f>SUM(BU216:BU221)</f>
        <v>0</v>
      </c>
      <c r="BV215" s="139">
        <f t="shared" ref="BV215:CQ215" si="255">SUM(BV216:BV221)</f>
        <v>37</v>
      </c>
      <c r="BW215" s="139">
        <f t="shared" si="255"/>
        <v>887741.022</v>
      </c>
      <c r="BX215" s="139">
        <f t="shared" si="255"/>
        <v>1</v>
      </c>
      <c r="BY215" s="139">
        <f t="shared" si="255"/>
        <v>24961.367199999997</v>
      </c>
      <c r="BZ215" s="139">
        <f t="shared" si="255"/>
        <v>27</v>
      </c>
      <c r="CA215" s="139">
        <f t="shared" si="255"/>
        <v>624693.09</v>
      </c>
      <c r="CB215" s="139">
        <f t="shared" si="255"/>
        <v>0</v>
      </c>
      <c r="CC215" s="139">
        <f t="shared" si="255"/>
        <v>0</v>
      </c>
      <c r="CD215" s="139">
        <f t="shared" si="255"/>
        <v>0</v>
      </c>
      <c r="CE215" s="139">
        <f t="shared" si="255"/>
        <v>0</v>
      </c>
      <c r="CF215" s="139">
        <f t="shared" si="255"/>
        <v>10</v>
      </c>
      <c r="CG215" s="139">
        <f t="shared" si="255"/>
        <v>267485.71249999997</v>
      </c>
      <c r="CH215" s="139">
        <f t="shared" si="255"/>
        <v>7</v>
      </c>
      <c r="CI215" s="139">
        <f t="shared" si="255"/>
        <v>287717.0683333333</v>
      </c>
      <c r="CJ215" s="139">
        <f t="shared" si="255"/>
        <v>0</v>
      </c>
      <c r="CK215" s="139">
        <f t="shared" si="255"/>
        <v>0</v>
      </c>
      <c r="CL215" s="139">
        <f t="shared" si="255"/>
        <v>0</v>
      </c>
      <c r="CM215" s="139">
        <f t="shared" si="255"/>
        <v>0</v>
      </c>
      <c r="CN215" s="139">
        <f t="shared" si="255"/>
        <v>0</v>
      </c>
      <c r="CO215" s="139">
        <f t="shared" si="255"/>
        <v>0</v>
      </c>
      <c r="CP215" s="139">
        <f t="shared" si="255"/>
        <v>866</v>
      </c>
      <c r="CQ215" s="139">
        <f t="shared" si="255"/>
        <v>18625959.925033335</v>
      </c>
    </row>
    <row r="216" spans="1:95" s="3" customFormat="1" ht="18.75" hidden="1" customHeight="1" x14ac:dyDescent="0.25">
      <c r="A216" s="54"/>
      <c r="B216" s="54">
        <v>140</v>
      </c>
      <c r="C216" s="55" t="s">
        <v>545</v>
      </c>
      <c r="D216" s="120" t="s">
        <v>546</v>
      </c>
      <c r="E216" s="110">
        <v>16026</v>
      </c>
      <c r="F216" s="110">
        <v>16828</v>
      </c>
      <c r="G216" s="33">
        <v>0.89</v>
      </c>
      <c r="H216" s="34"/>
      <c r="I216" s="35">
        <v>1</v>
      </c>
      <c r="J216" s="111"/>
      <c r="K216" s="35"/>
      <c r="L216" s="97">
        <v>1.4</v>
      </c>
      <c r="M216" s="97">
        <v>1.68</v>
      </c>
      <c r="N216" s="97">
        <v>2.23</v>
      </c>
      <c r="O216" s="97">
        <v>2.57</v>
      </c>
      <c r="P216" s="36">
        <v>0</v>
      </c>
      <c r="Q216" s="36">
        <f>SUM(P216/12*2*$E216*$G216*$I216*$L216*$Q$9)+(P216/12*10*$F216*$G216*$I216*$L216*$Q$9)</f>
        <v>0</v>
      </c>
      <c r="R216" s="37">
        <v>0</v>
      </c>
      <c r="S216" s="36">
        <f>SUM(R216/12*2*$E216*$G216*$I216*$L216*S$9)+(R216/12*10*$F216*$G216*$I216*$L216*S$9)</f>
        <v>0</v>
      </c>
      <c r="T216" s="36">
        <v>0</v>
      </c>
      <c r="U216" s="36">
        <f>SUM(T216/12*2*$E216*$G216*$I216*$L216*U$9)+(T216/12*10*$F216*$G216*$I216*$L216*U$9)</f>
        <v>0</v>
      </c>
      <c r="V216" s="37"/>
      <c r="W216" s="36">
        <f>SUM(V216/12*2*$E216*$G216*$I216*$L216*$W$9)+(V216/12*10*$F216*$G216*$I216*$L216*$W$9)</f>
        <v>0</v>
      </c>
      <c r="X216" s="37">
        <v>0</v>
      </c>
      <c r="Y216" s="38">
        <f>SUM(X216/12*2*$E216*$G216*$I216*$L216*Y$9)+(X216/12*10*$F216*$G216*$I216*$L216*Y$9)</f>
        <v>0</v>
      </c>
      <c r="Z216" s="37"/>
      <c r="AA216" s="36"/>
      <c r="AB216" s="37">
        <v>0</v>
      </c>
      <c r="AC216" s="36">
        <f>(AB216/12*2*$E216*$G216*$I216*$L216)+(AB216/12*10*$F216*$G216*$I216*$L216)</f>
        <v>0</v>
      </c>
      <c r="AD216" s="37">
        <v>0</v>
      </c>
      <c r="AE216" s="36">
        <f>(AD216/12*2*$E216*$G216*$I216*$L216*AE$9)+(AD216/12*10*$F216*$G216*$I216*$L216*AE$9)</f>
        <v>0</v>
      </c>
      <c r="AF216" s="37">
        <v>0</v>
      </c>
      <c r="AG216" s="36">
        <f>(AF216/12*2*$E216*$G216*$I216*$M216*AG$9)+(AF216/12*10*$F216*$G216*$I216*$M216*AG$9)</f>
        <v>0</v>
      </c>
      <c r="AH216" s="58">
        <v>1</v>
      </c>
      <c r="AI216" s="36">
        <f>(AH216/12*2*$E216*$G216*$I216*$M216*$AI$9)+(AH216/12*10*$F216*$G216*$I216*$M216*$AI$9)</f>
        <v>24961.367199999997</v>
      </c>
      <c r="AJ216" s="36">
        <v>0</v>
      </c>
      <c r="AK216" s="36">
        <v>0</v>
      </c>
      <c r="AL216" s="37"/>
      <c r="AM216" s="36">
        <f>SUM(AL216/12*2*$E216*$G216*$I216*$L216*AM$9)+(AL216/12*10*$F216*$G216*$I216*$L216*AM$9)</f>
        <v>0</v>
      </c>
      <c r="AN216" s="37">
        <v>0</v>
      </c>
      <c r="AO216" s="36">
        <f>SUM(AN216/12*2*$E216*$G216*$I216*$L216*$AE$9)+(AN216/12*10*$F216*$G216*$I216*$L216*$AE$9)</f>
        <v>0</v>
      </c>
      <c r="AP216" s="37"/>
      <c r="AQ216" s="36"/>
      <c r="AR216" s="37"/>
      <c r="AS216" s="36">
        <f>SUM(AR216/12*2*$E216*$G216*$I216*$L216*AS$9)+(AR216/12*10*$F216*$G216*$I216*$L216*AS$9)</f>
        <v>0</v>
      </c>
      <c r="AT216" s="37">
        <v>0</v>
      </c>
      <c r="AU216" s="36">
        <f>SUM(AT216/12*2*$E216*$G216*$I216*$L216*$AI$9)+(AT216/12*10*$F216*$G216*$I216*$L216*$AI$9)</f>
        <v>0</v>
      </c>
      <c r="AV216" s="37">
        <v>0</v>
      </c>
      <c r="AW216" s="36">
        <f>SUM(AV216/12*2*$E216*$G216*$I216*$L216*AW$9)+(AV216/12*10*$F216*$G216*$I216*$L216*AW$9)</f>
        <v>0</v>
      </c>
      <c r="AX216" s="37"/>
      <c r="AY216" s="36">
        <f>SUM(AX216/12*2*$E216*$G216*$I216*$L216*AY$9)+(AX216/12*10*$F216*$G216*$I216*$L216*AY$9)</f>
        <v>0</v>
      </c>
      <c r="AZ216" s="37">
        <v>0</v>
      </c>
      <c r="BA216" s="36">
        <f>SUM(AZ216/12*2*$E216*$G216*$I216*$L216*BA$9)+(AZ216/12*10*$F216*$G216*$I216*$L216*BA$9)</f>
        <v>0</v>
      </c>
      <c r="BB216" s="37">
        <v>0</v>
      </c>
      <c r="BC216" s="36">
        <f>SUM(BB216/12*2*$E216*$G216*$I216*$L216*BC$9)+(BB216/12*10*$F216*$G216*$I216*$L216*BC$9)</f>
        <v>0</v>
      </c>
      <c r="BD216" s="37"/>
      <c r="BE216" s="36">
        <f>SUM(BD216/12*2*$E216*$G216*$I216*$L216*BE$9)+(BD216/12*10*$F216*$G216*$I216*$L216*BE$9)</f>
        <v>0</v>
      </c>
      <c r="BF216" s="37">
        <v>2</v>
      </c>
      <c r="BG216" s="39">
        <f>(BF216/12*2*$E216*$G216*$I216*$M216*BG$9)+(BF216/12*10*$F216*$G216*$I216*$M216*BG$9)</f>
        <v>49922.734399999994</v>
      </c>
      <c r="BH216" s="60">
        <v>0</v>
      </c>
      <c r="BI216" s="36">
        <f>(BH216/12*2*$E216*$G216*$I216*$M216*BI$9)+(BH216/12*10*$F216*$G216*$I216*$M216*BI$9)</f>
        <v>0</v>
      </c>
      <c r="BJ216" s="37">
        <v>0</v>
      </c>
      <c r="BK216" s="36">
        <f>(BJ216/12*2*$E216*$G216*$I216*$M216*BK$9)+(BJ216/12*10*$F216*$G216*$I216*$M216*BK$9)</f>
        <v>0</v>
      </c>
      <c r="BL216" s="37">
        <v>0</v>
      </c>
      <c r="BM216" s="36">
        <f>(BL216/12*2*$E216*$G216*$I216*$M216*BM$9)+(BL216/12*10*$F216*$G216*$I216*$M216*BM$9)</f>
        <v>0</v>
      </c>
      <c r="BN216" s="36"/>
      <c r="BO216" s="36">
        <f>(BN216/12*10*$F216*$G216*$I216*$M216*BO$9)</f>
        <v>0</v>
      </c>
      <c r="BP216" s="39"/>
      <c r="BQ216" s="36"/>
      <c r="BR216" s="37"/>
      <c r="BS216" s="36">
        <f>(BR216/12*10*$F216*$G216*$I216*$M216*BS$9)</f>
        <v>0</v>
      </c>
      <c r="BT216" s="37">
        <v>0</v>
      </c>
      <c r="BU216" s="36">
        <f>(BT216/12*2*$E216*$G216*$I216*$M216*BU$9)+(BT216/12*10*$F216*$G216*$I216*$M216*BU$9)</f>
        <v>0</v>
      </c>
      <c r="BV216" s="36">
        <v>10</v>
      </c>
      <c r="BW216" s="36">
        <f>(BV216/12*2*$E216*$G216*$I216*$M216*BW$9)+(BV216/12*10*$F216*$G216*$I216*$M216*BW$9)</f>
        <v>249613.67200000002</v>
      </c>
      <c r="BX216" s="36">
        <v>1</v>
      </c>
      <c r="BY216" s="36">
        <f>(BX216/12*2*$E216*$G216*$I216*$M216*BY$9)+(BX216/12*10*$F216*$G216*$I216*$M216*BY$9)</f>
        <v>24961.367199999997</v>
      </c>
      <c r="BZ216" s="37"/>
      <c r="CA216" s="36">
        <f>(BZ216/12*2*$E216*$G216*$I216*$M216*CA$9)+(BZ216/12*10*$F216*$G216*$I216*$M216*CA$9)</f>
        <v>0</v>
      </c>
      <c r="CB216" s="37"/>
      <c r="CC216" s="36">
        <f>(CB216/12*2*$E216*$G216*$I216*$M216*CC$9)+(CB216/12*10*$F216*$G216*$I216*$M216*CC$9)</f>
        <v>0</v>
      </c>
      <c r="CD216" s="37">
        <v>0</v>
      </c>
      <c r="CE216" s="36">
        <f>(CD216/12*2*$E216*$G216*$I216*$M216*CE$9)+(CD216/12*10*$F216*$G216*$I216*$M216*CE$9)</f>
        <v>0</v>
      </c>
      <c r="CF216" s="37"/>
      <c r="CG216" s="36">
        <f>(CF216/12*2*$E216*$G216*$I216*$N216*CG$9)+(CF216/12*10*$F216*$G216*$I216*$N216*CG$9)</f>
        <v>0</v>
      </c>
      <c r="CH216" s="36"/>
      <c r="CI216" s="36">
        <f>(CH216/12*2*$E216*$G216*$I216*$O216*$CI$9)+(CH216/12*10*$F216*$G216*$I216*$O216*$CI$9)</f>
        <v>0</v>
      </c>
      <c r="CJ216" s="36"/>
      <c r="CK216" s="41">
        <f t="shared" ref="CK216:CK221" si="256">(CJ216/12*3*$E216*$G216*$I216*$M216)+(CJ216/12*9*$F216*$G216*$I216*$M216)</f>
        <v>0</v>
      </c>
      <c r="CL216" s="41"/>
      <c r="CM216" s="41"/>
      <c r="CN216" s="41"/>
      <c r="CO216" s="41"/>
      <c r="CP216" s="42">
        <f t="shared" ref="CP216:CQ221" si="257">SUM(R216+P216+T216+V216+AB216+Z216+X216+AF216+AD216+AH216+AJ216+BF216+BJ216+AL216+AT216+AV216+BT216+BV216+BR216+BX216+BZ216+BN216+AN216+AP216+AR216+BH216+BL216+AX216+AZ216+BB216+BD216+BP216+CB216+CD216+CF216+CH216+CJ216+CL216)</f>
        <v>14</v>
      </c>
      <c r="CQ216" s="42">
        <f t="shared" si="257"/>
        <v>349459.14079999999</v>
      </c>
    </row>
    <row r="217" spans="1:95" s="3" customFormat="1" ht="30" hidden="1" customHeight="1" x14ac:dyDescent="0.25">
      <c r="A217" s="54"/>
      <c r="B217" s="54">
        <v>141</v>
      </c>
      <c r="C217" s="55" t="s">
        <v>547</v>
      </c>
      <c r="D217" s="120" t="s">
        <v>548</v>
      </c>
      <c r="E217" s="110">
        <v>16026</v>
      </c>
      <c r="F217" s="110">
        <v>16828</v>
      </c>
      <c r="G217" s="33">
        <v>0.75</v>
      </c>
      <c r="H217" s="34"/>
      <c r="I217" s="35">
        <v>1</v>
      </c>
      <c r="J217" s="118">
        <v>0.95</v>
      </c>
      <c r="K217" s="35"/>
      <c r="L217" s="97">
        <v>1.4</v>
      </c>
      <c r="M217" s="97">
        <v>1.68</v>
      </c>
      <c r="N217" s="97">
        <v>2.23</v>
      </c>
      <c r="O217" s="97">
        <v>2.57</v>
      </c>
      <c r="P217" s="36">
        <v>1</v>
      </c>
      <c r="Q217" s="36">
        <f>SUM(P217/12*2*$E217*$G217*$I217*$L217*$Q$9)+(P217/12*10*$F217*$G217*$J217*$L217*$Q$9)</f>
        <v>16792.825000000001</v>
      </c>
      <c r="R217" s="36">
        <v>5</v>
      </c>
      <c r="S217" s="36">
        <f>SUM(R217/12*2*$E217*$G217*$I217*$L217*S$9)+(R217/12*10*$F217*$G217*$J217*$L217*S$9)</f>
        <v>83964.125</v>
      </c>
      <c r="T217" s="36">
        <v>0</v>
      </c>
      <c r="U217" s="36">
        <f>SUM(T217/12*2*$E217*$G217*$I217*$L217*U$9)+(T217/12*10*$F217*$G217*$J217*$L217*U$9)</f>
        <v>0</v>
      </c>
      <c r="V217" s="37">
        <v>0</v>
      </c>
      <c r="W217" s="36">
        <f>SUM(V217/12*2*$E217*$G217*$I217*$L217*$W$9)+(V217/12*10*$F217*$G217*$J217*$L217*$W$9)</f>
        <v>0</v>
      </c>
      <c r="X217" s="37">
        <v>0</v>
      </c>
      <c r="Y217" s="38">
        <f>SUM(X217/12*2*$E217*$G217*$I217*$L217*Y$9)+(X217/12*10*$F217*$G217*$J217*$L217*Y$9)</f>
        <v>0</v>
      </c>
      <c r="Z217" s="37"/>
      <c r="AA217" s="36"/>
      <c r="AB217" s="37">
        <v>0</v>
      </c>
      <c r="AC217" s="36">
        <f>(AB217/12*2*$E217*$G217*$I217*$L217)+(AB217/12*10*$F217*$G217*$J217*$L217)</f>
        <v>0</v>
      </c>
      <c r="AD217" s="39">
        <v>10</v>
      </c>
      <c r="AE217" s="36">
        <f>(AD217/12*2*$E217*$G217*$I217*$L217*AE$9)+(AD217/12*10*$F217*$G217*$J217*$L217*AE$9)</f>
        <v>167928.25</v>
      </c>
      <c r="AF217" s="37">
        <v>0</v>
      </c>
      <c r="AG217" s="36">
        <f>(AF217/12*2*$E217*$G217*$I217*$M217*AG$9)+(AF217/12*10*$F217*$G217*$J217*$M217*AG$9)</f>
        <v>0</v>
      </c>
      <c r="AH217" s="36">
        <v>13</v>
      </c>
      <c r="AI217" s="36">
        <f>(AH217/12*2*$E217*$G217*$I217*$M217*$AI$9)+(AH217/12*10*$F217*$G217*$J217*$M217*$AI$9)</f>
        <v>261968.07</v>
      </c>
      <c r="AJ217" s="36">
        <v>15</v>
      </c>
      <c r="AK217" s="36">
        <v>302394.99999999994</v>
      </c>
      <c r="AL217" s="37"/>
      <c r="AM217" s="36">
        <f>SUM(AL217/12*2*$E217*$G217*$I217*$L217*AM$9)+(AL217/12*10*$F217*$G217*$J217*$L217*AM$9)</f>
        <v>0</v>
      </c>
      <c r="AN217" s="37">
        <v>0</v>
      </c>
      <c r="AO217" s="36">
        <f>SUM(AN217/12*2*$E217*$G217*$I217*$L217*$AE$9)+(AN217/12*10*$F217*$G217*$J217*$L217*$AE$9)</f>
        <v>0</v>
      </c>
      <c r="AP217" s="37"/>
      <c r="AQ217" s="36"/>
      <c r="AR217" s="37"/>
      <c r="AS217" s="36">
        <f>SUM(AR217/12*2*$E217*$G217*$I217*$L217*AS$9)+(AR217/12*10*$F217*$G217*$J217*$L217*AS$9)</f>
        <v>0</v>
      </c>
      <c r="AT217" s="37">
        <v>0</v>
      </c>
      <c r="AU217" s="36">
        <f>SUM(AT217/12*2*$E217*$G217*$I217*$L217*$AI$9)+(AT217/12*10*$F217*$G217*$J217*$L217*$AI$9)</f>
        <v>0</v>
      </c>
      <c r="AV217" s="36">
        <v>25</v>
      </c>
      <c r="AW217" s="36">
        <f>SUM(AV217/12*2*$E217*$G217*$I217*$L217*AW$9)+(AV217/12*10*$F217*$G217*$J217*$L217*AW$9)</f>
        <v>419820.625</v>
      </c>
      <c r="AX217" s="36">
        <v>120</v>
      </c>
      <c r="AY217" s="36">
        <f>SUM(AX217/12*2*$E217*$G217*$I217*$L217*AY$9)+(AX217/12*10*$F217*$G217*$J217*$L217*AY$9)</f>
        <v>2015139</v>
      </c>
      <c r="AZ217" s="37">
        <v>0</v>
      </c>
      <c r="BA217" s="36">
        <f>SUM(AZ217/12*2*$E217*$G217*$I217*$L217*BA$9)+(AZ217/12*10*$F217*$G217*$J217*$L217*BA$9)</f>
        <v>0</v>
      </c>
      <c r="BB217" s="37"/>
      <c r="BC217" s="36">
        <f>SUM(BB217/12*2*$E217*$G217*$I217*$L217*BC$9)+(BB217/12*10*$F217*$G217*$J217*$L217*BC$9)</f>
        <v>0</v>
      </c>
      <c r="BD217" s="36">
        <v>10</v>
      </c>
      <c r="BE217" s="36">
        <f>SUM(BD217/12*2*$E217*$G217*$I217*$L217*BE$9)+(BD217/12*10*$F217*$G217*$J217*$L217*BE$9)</f>
        <v>167928.25</v>
      </c>
      <c r="BF217" s="36">
        <v>91</v>
      </c>
      <c r="BG217" s="39">
        <f>(BF217/12*2*$E217*$G217*$I217*$M217*BG$9)+(BF217/12*10*$F217*$G217*$J217*$M217*BG$9)</f>
        <v>1833776.4899999998</v>
      </c>
      <c r="BH217" s="60">
        <v>0</v>
      </c>
      <c r="BI217" s="36">
        <f>(BH217/12*2*$E217*$G217*$I217*$M217*BI$9)+(BH217/12*10*$F217*$G217*$J217*$M217*BI$9)</f>
        <v>0</v>
      </c>
      <c r="BJ217" s="36">
        <v>37</v>
      </c>
      <c r="BK217" s="36">
        <f>(BJ217/12*2*$E217*$G217*$I217*$M217*BK$9)+(BJ217/12*10*$F217*$G217*$J217*$M217*BK$9)</f>
        <v>745601.43</v>
      </c>
      <c r="BL217" s="37">
        <v>0</v>
      </c>
      <c r="BM217" s="36">
        <f>(BL217/12*2*$E217*$G217*$I217*$M217*BM$9)+(BL217/12*10*$F217*$G217*$J217*$M217*BM$9)</f>
        <v>0</v>
      </c>
      <c r="BN217" s="36">
        <v>9</v>
      </c>
      <c r="BO217" s="36">
        <f>(BN217/12*10*$F217*$G217*$J217*$M217*BO$9)</f>
        <v>151073.37</v>
      </c>
      <c r="BP217" s="39"/>
      <c r="BQ217" s="36"/>
      <c r="BR217" s="58">
        <v>85</v>
      </c>
      <c r="BS217" s="36">
        <f>(BR217/12*10*$F217*$G217*$J217*$M217*BS$9)</f>
        <v>1426804.05</v>
      </c>
      <c r="BT217" s="37">
        <v>0</v>
      </c>
      <c r="BU217" s="36"/>
      <c r="BV217" s="36">
        <v>13</v>
      </c>
      <c r="BW217" s="36">
        <f>(BV217/12*2*$E217*$G217*$I217*$M217*BW$9)+(BV217/12*10*$F217*$G217*$J217*$M217*BW$9)</f>
        <v>261968.07</v>
      </c>
      <c r="BX217" s="37">
        <v>0</v>
      </c>
      <c r="BY217" s="36">
        <f>(BX217/12*2*$E217*$G217*$I217*$M217*BY$9)+(BX217/12*10*$F217*$G217*$J217*$M217*BY$9)</f>
        <v>0</v>
      </c>
      <c r="BZ217" s="36">
        <v>15</v>
      </c>
      <c r="CA217" s="36">
        <f>(BZ217/12*2*$E217*$G217*$I217*$M217*CA$9)+(BZ217/12*10*$F217*$G217*$J217*$M217*CA$9)</f>
        <v>302270.84999999998</v>
      </c>
      <c r="CB217" s="37"/>
      <c r="CC217" s="36">
        <f>(CB217/12*2*$E217*$G217*$I217*$M217*CC$9)+(CB217/12*10*$F217*$G217*$J217*$M217*CC$9)</f>
        <v>0</v>
      </c>
      <c r="CD217" s="37">
        <v>0</v>
      </c>
      <c r="CE217" s="36">
        <f>(CD217/12*2*$E217*$G217*$I217*$M217*CE$9)+(CD217/12*10*$F217*$G217*$J217*$M217*CE$9)</f>
        <v>0</v>
      </c>
      <c r="CF217" s="36">
        <v>10</v>
      </c>
      <c r="CG217" s="36">
        <f>(CF217/12*2*$E217*$G217*$I217*$N217*CG$9)+(CF217/12*10*$F217*$G217*$J217*$N217*CG$9)</f>
        <v>267485.71249999997</v>
      </c>
      <c r="CH217" s="36"/>
      <c r="CI217" s="36">
        <f>(CH217/12*2*$E217*$G217*$I217*$O217*$CI$9)+(CH217/12*10*$F217*$G217*$J217*$O217*$CI$9)</f>
        <v>0</v>
      </c>
      <c r="CJ217" s="36"/>
      <c r="CK217" s="41"/>
      <c r="CL217" s="41"/>
      <c r="CM217" s="41"/>
      <c r="CN217" s="41"/>
      <c r="CO217" s="41"/>
      <c r="CP217" s="42">
        <f t="shared" si="257"/>
        <v>459</v>
      </c>
      <c r="CQ217" s="42">
        <f t="shared" si="257"/>
        <v>8424916.1174999997</v>
      </c>
    </row>
    <row r="218" spans="1:95" s="3" customFormat="1" ht="30" hidden="1" customHeight="1" x14ac:dyDescent="0.25">
      <c r="A218" s="54"/>
      <c r="B218" s="54">
        <v>142</v>
      </c>
      <c r="C218" s="55" t="s">
        <v>549</v>
      </c>
      <c r="D218" s="120" t="s">
        <v>550</v>
      </c>
      <c r="E218" s="110">
        <v>16026</v>
      </c>
      <c r="F218" s="110">
        <v>16828</v>
      </c>
      <c r="G218" s="57">
        <v>1</v>
      </c>
      <c r="H218" s="34"/>
      <c r="I218" s="35">
        <v>1</v>
      </c>
      <c r="J218" s="118">
        <v>0.95</v>
      </c>
      <c r="K218" s="35"/>
      <c r="L218" s="97">
        <v>1.4</v>
      </c>
      <c r="M218" s="97">
        <v>1.68</v>
      </c>
      <c r="N218" s="97">
        <v>2.23</v>
      </c>
      <c r="O218" s="97">
        <v>2.57</v>
      </c>
      <c r="P218" s="36">
        <v>15</v>
      </c>
      <c r="Q218" s="36">
        <f>SUM(P218/12*2*$E218*$G218*$I218*$L218*$Q$9)+(P218/12*10*$F218*$G218*$J218*$L218*$Q$9)</f>
        <v>335856.5</v>
      </c>
      <c r="R218" s="36">
        <v>70</v>
      </c>
      <c r="S218" s="36">
        <f>SUM(R218/12*2*$E218*$G218*$I218*$L218*S$9)+(R218/12*10*$F218*$G218*$J218*$L218*S$9)</f>
        <v>1567330.333333333</v>
      </c>
      <c r="T218" s="36">
        <v>0</v>
      </c>
      <c r="U218" s="36">
        <f>SUM(T218/12*2*$E218*$G218*$I218*$L218*U$9)+(T218/12*10*$F218*$G218*$J218*$L218*U$9)</f>
        <v>0</v>
      </c>
      <c r="V218" s="37">
        <v>0</v>
      </c>
      <c r="W218" s="36">
        <f>SUM(V218/12*2*$E218*$G218*$I218*$L218*$W$9)+(V218/12*10*$F218*$G218*$J218*$L218*$W$9)</f>
        <v>0</v>
      </c>
      <c r="X218" s="37">
        <v>0</v>
      </c>
      <c r="Y218" s="38">
        <f>SUM(X218/12*2*$E218*$G218*$I218*$L218*Y$9)+(X218/12*10*$F218*$G218*$J218*$L218*Y$9)</f>
        <v>0</v>
      </c>
      <c r="Z218" s="37"/>
      <c r="AA218" s="36"/>
      <c r="AB218" s="37">
        <v>0</v>
      </c>
      <c r="AC218" s="36">
        <f>(AB218/12*2*$E218*$G218*$I218*$L218)+(AB218/12*10*$F218*$G218*$J218*$L218)</f>
        <v>0</v>
      </c>
      <c r="AD218" s="39">
        <v>10</v>
      </c>
      <c r="AE218" s="36">
        <f>(AD218/12*2*$E218*$G218*$I218*$L218*AE$9)+(AD218/12*10*$F218*$G218*$J218*$L218*AE$9)</f>
        <v>223904.33333333331</v>
      </c>
      <c r="AF218" s="37">
        <v>0</v>
      </c>
      <c r="AG218" s="36">
        <f>(AF218/12*2*$E218*$G218*$I218*$M218*AG$9)+(AF218/12*10*$F218*$G218*$J218*$M218*AG$9)</f>
        <v>0</v>
      </c>
      <c r="AH218" s="36">
        <v>32</v>
      </c>
      <c r="AI218" s="36">
        <f>(AH218/12*2*$E218*$G218*$I218*$M218*$AI$9)+(AH218/12*10*$F218*$G218*$J218*$M218*$AI$9)</f>
        <v>859792.63999999978</v>
      </c>
      <c r="AJ218" s="36">
        <v>18</v>
      </c>
      <c r="AK218" s="36">
        <v>483567.1999999999</v>
      </c>
      <c r="AL218" s="37"/>
      <c r="AM218" s="36">
        <f>SUM(AL218/12*2*$E218*$G218*$I218*$L218*AM$9)+(AL218/12*10*$F218*$G218*$J218*$L218*AM$9)</f>
        <v>0</v>
      </c>
      <c r="AN218" s="37">
        <v>0</v>
      </c>
      <c r="AO218" s="36">
        <f>SUM(AN218/12*2*$E218*$G218*$I218*$L218*$AE$9)+(AN218/12*10*$F218*$G218*$J218*$L218*$AE$9)</f>
        <v>0</v>
      </c>
      <c r="AP218" s="37"/>
      <c r="AQ218" s="36"/>
      <c r="AR218" s="37"/>
      <c r="AS218" s="36">
        <f>SUM(AR218/12*2*$E218*$G218*$I218*$L218*AS$9)+(AR218/12*10*$F218*$G218*$J218*$L218*AS$9)</f>
        <v>0</v>
      </c>
      <c r="AT218" s="37">
        <v>0</v>
      </c>
      <c r="AU218" s="36">
        <f>SUM(AT218/12*2*$E218*$G218*$I218*$L218*$AI$9)+(AT218/12*10*$F218*$G218*$J218*$L218*$AI$9)</f>
        <v>0</v>
      </c>
      <c r="AV218" s="36">
        <v>8</v>
      </c>
      <c r="AW218" s="36">
        <f>SUM(AV218/12*2*$E218*$G218*$I218*$L218*AW$9)+(AV218/12*10*$F218*$G218*$J218*$L218*AW$9)</f>
        <v>179123.46666666662</v>
      </c>
      <c r="AX218" s="36">
        <v>76</v>
      </c>
      <c r="AY218" s="36">
        <f>SUM(AX218/12*2*$E218*$G218*$I218*$L218*AY$9)+(AX218/12*10*$F218*$G218*$J218*$L218*AY$9)</f>
        <v>1701672.9333333329</v>
      </c>
      <c r="AZ218" s="37">
        <v>0</v>
      </c>
      <c r="BA218" s="36">
        <f>SUM(AZ218/12*2*$E218*$G218*$I218*$L218*BA$9)+(AZ218/12*10*$F218*$G218*$J218*$L218*BA$9)</f>
        <v>0</v>
      </c>
      <c r="BB218" s="36"/>
      <c r="BC218" s="36">
        <f>SUM(BB218/12*2*$E218*$G218*$I218*$L218*BC$9)+(BB218/12*10*$F218*$G218*$J218*$L218*BC$9)</f>
        <v>0</v>
      </c>
      <c r="BD218" s="36">
        <v>31</v>
      </c>
      <c r="BE218" s="36">
        <f>SUM(BD218/12*2*$E218*$G218*$I218*$L218*BE$9)+(BD218/12*10*$F218*$G218*$J218*$L218*BE$9)</f>
        <v>694103.43333333335</v>
      </c>
      <c r="BF218" s="36">
        <v>61</v>
      </c>
      <c r="BG218" s="39">
        <f>(BF218/12*2*$E218*$G218*$I218*$M218*BG$9)+(BF218/12*10*$F218*$G218*$J218*$M218*BG$9)</f>
        <v>1638979.7199999997</v>
      </c>
      <c r="BH218" s="60"/>
      <c r="BI218" s="36">
        <f>(BH218/12*2*$E218*$G218*$I218*$M218*BI$9)+(BH218/12*10*$F218*$G218*$J218*$M218*BI$9)</f>
        <v>0</v>
      </c>
      <c r="BJ218" s="36">
        <v>31</v>
      </c>
      <c r="BK218" s="36">
        <f>(BJ218/12*2*$E218*$G218*$I218*$M218*BK$9)+(BJ218/12*10*$F218*$G218*$J218*$M218*BK$9)</f>
        <v>832924.12000000011</v>
      </c>
      <c r="BL218" s="37">
        <v>0</v>
      </c>
      <c r="BM218" s="36">
        <f>(BL218/12*2*$E218*$G218*$I218*$M218*BM$9)+(BL218/12*10*$F218*$G218*$J218*$M218*BM$9)</f>
        <v>0</v>
      </c>
      <c r="BN218" s="36">
        <v>6</v>
      </c>
      <c r="BO218" s="36">
        <f>(BN218/12*10*$F218*$G218*$J218*$M218*BO$9)</f>
        <v>134287.44</v>
      </c>
      <c r="BP218" s="39"/>
      <c r="BQ218" s="36"/>
      <c r="BR218" s="36"/>
      <c r="BS218" s="36">
        <f>(BR218/12*10*$F218*$G218*$J218*$M218*BS$9)</f>
        <v>0</v>
      </c>
      <c r="BT218" s="37">
        <v>0</v>
      </c>
      <c r="BU218" s="36"/>
      <c r="BV218" s="36">
        <v>14</v>
      </c>
      <c r="BW218" s="36">
        <f>(BV218/12*2*$E218*$G218*$I218*$M218*BW$9)+(BV218/12*10*$F218*$G218*$J218*$M218*BW$9)</f>
        <v>376159.27999999997</v>
      </c>
      <c r="BX218" s="37">
        <v>0</v>
      </c>
      <c r="BY218" s="36">
        <f>(BX218/12*2*$E218*$G218*$I218*$M218*BY$9)+(BX218/12*10*$F218*$G218*$J218*$M218*BY$9)</f>
        <v>0</v>
      </c>
      <c r="BZ218" s="36">
        <v>12</v>
      </c>
      <c r="CA218" s="36">
        <f>(BZ218/12*2*$E218*$G218*$I218*$M218*CA$9)+(BZ218/12*10*$F218*$G218*$J218*$M218*CA$9)</f>
        <v>322422.24</v>
      </c>
      <c r="CB218" s="37"/>
      <c r="CC218" s="36">
        <f>(CB218/12*2*$E218*$G218*$I218*$M218*CC$9)+(CB218/12*10*$F218*$G218*$J218*$M218*CC$9)</f>
        <v>0</v>
      </c>
      <c r="CD218" s="37"/>
      <c r="CE218" s="36">
        <f>(CD218/12*2*$E218*$G218*$I218*$M218*CE$9)+(CD218/12*10*$F218*$G218*$J218*$M218*CE$9)</f>
        <v>0</v>
      </c>
      <c r="CF218" s="37"/>
      <c r="CG218" s="36">
        <f>(CF218/12*2*$E218*$G218*$I218*$N218*CG$9)+(CF218/12*10*$F218*$G218*$J218*$N218*CG$9)</f>
        <v>0</v>
      </c>
      <c r="CH218" s="36">
        <v>7</v>
      </c>
      <c r="CI218" s="36">
        <f>(CH218/12*2*$E218*$G218*$I218*$O218*$CI$9)+(CH218/12*10*$F218*$G218*$J218*$O218*$CI$9)</f>
        <v>287717.0683333333</v>
      </c>
      <c r="CJ218" s="36"/>
      <c r="CK218" s="41"/>
      <c r="CL218" s="41"/>
      <c r="CM218" s="41"/>
      <c r="CN218" s="41"/>
      <c r="CO218" s="41"/>
      <c r="CP218" s="42">
        <f t="shared" si="257"/>
        <v>391</v>
      </c>
      <c r="CQ218" s="42">
        <f t="shared" si="257"/>
        <v>9637840.708333334</v>
      </c>
    </row>
    <row r="219" spans="1:95" s="3" customFormat="1" ht="30" hidden="1" customHeight="1" x14ac:dyDescent="0.25">
      <c r="A219" s="54"/>
      <c r="B219" s="54">
        <v>143</v>
      </c>
      <c r="C219" s="55" t="s">
        <v>551</v>
      </c>
      <c r="D219" s="120" t="s">
        <v>552</v>
      </c>
      <c r="E219" s="110">
        <v>16026</v>
      </c>
      <c r="F219" s="110">
        <v>16828</v>
      </c>
      <c r="G219" s="33">
        <v>4.34</v>
      </c>
      <c r="H219" s="34"/>
      <c r="I219" s="35">
        <v>1</v>
      </c>
      <c r="J219" s="118">
        <v>0.95</v>
      </c>
      <c r="K219" s="35"/>
      <c r="L219" s="97">
        <v>1.4</v>
      </c>
      <c r="M219" s="97">
        <v>1.68</v>
      </c>
      <c r="N219" s="97">
        <v>2.23</v>
      </c>
      <c r="O219" s="97">
        <v>2.57</v>
      </c>
      <c r="P219" s="36"/>
      <c r="Q219" s="36">
        <f>SUM(P219/12*2*$E219*$G219*$I219*$L219*$Q$9)+(P219/12*10*$F219*$G219*$J219*$L219*$Q$9)</f>
        <v>0</v>
      </c>
      <c r="R219" s="36">
        <v>1</v>
      </c>
      <c r="S219" s="36">
        <f>SUM(R219*$F219*$G219*$J219*$L219*S$9)</f>
        <v>97134.58159999999</v>
      </c>
      <c r="T219" s="36"/>
      <c r="U219" s="36">
        <f>SUM(T219/12*2*$E219*$G219*$I219*$L219*U$9)+(T219/12*10*$F219*$G219*$J219*$L219*U$9)</f>
        <v>0</v>
      </c>
      <c r="V219" s="37"/>
      <c r="W219" s="36">
        <f>SUM(V219/12*2*$E219*$G219*$I219*$L219*$W$9)+(V219/12*10*$F219*$G219*$J219*$L219*$W$9)</f>
        <v>0</v>
      </c>
      <c r="X219" s="37"/>
      <c r="Y219" s="38">
        <f>SUM(X219/12*2*$E219*$G219*$I219*$L219*Y$9)+(X219/12*10*$F219*$G219*$J219*$L219*Y$9)</f>
        <v>0</v>
      </c>
      <c r="Z219" s="37"/>
      <c r="AA219" s="36"/>
      <c r="AB219" s="37"/>
      <c r="AC219" s="36">
        <f>(AB219/12*2*$E219*$G219*$I219*$L219)+(AB219/12*10*$F219*$G219*$J219*$L219)</f>
        <v>0</v>
      </c>
      <c r="AD219" s="37"/>
      <c r="AE219" s="36">
        <f>(AD219/12*2*$E219*$G219*$I219*$L219*AE$9)+(AD219/12*10*$F219*$G219*$J219*$L219*AE$9)</f>
        <v>0</v>
      </c>
      <c r="AF219" s="37">
        <v>0</v>
      </c>
      <c r="AG219" s="36">
        <f>(AF219/12*2*$E219*$G219*$I219*$M219*AG$9)+(AF219/12*10*$F219*$G219*$J219*$M219*AG$9)</f>
        <v>0</v>
      </c>
      <c r="AH219" s="37"/>
      <c r="AI219" s="36">
        <f>(AH219/12*2*$E219*$G219*$I219*$M219*$AI$9)+(AH219/12*10*$F219*$G219*$J219*$M219*$AI$9)</f>
        <v>0</v>
      </c>
      <c r="AJ219" s="36">
        <v>0</v>
      </c>
      <c r="AK219" s="36">
        <v>0</v>
      </c>
      <c r="AL219" s="37"/>
      <c r="AM219" s="36">
        <f>SUM(AL219/12*2*$E219*$G219*$I219*$L219*AM$9)+(AL219/12*10*$F219*$G219*$J219*$L219*AM$9)</f>
        <v>0</v>
      </c>
      <c r="AN219" s="37"/>
      <c r="AO219" s="36">
        <f>SUM(AN219/12*2*$E219*$G219*$I219*$L219*$AE$9)+(AN219/12*10*$F219*$G219*$J219*$L219*$AE$9)</f>
        <v>0</v>
      </c>
      <c r="AP219" s="37"/>
      <c r="AQ219" s="36"/>
      <c r="AR219" s="37"/>
      <c r="AS219" s="36">
        <f>SUM(AR219/12*2*$E219*$G219*$I219*$L219*AS$9)+(AR219/12*10*$F219*$G219*$J219*$L219*AS$9)</f>
        <v>0</v>
      </c>
      <c r="AT219" s="37"/>
      <c r="AU219" s="36">
        <f>SUM(AT219/12*2*$E219*$G219*$I219*$L219*$AI$9)+(AT219/12*10*$F219*$G219*$J219*$L219*$AI$9)</f>
        <v>0</v>
      </c>
      <c r="AV219" s="37"/>
      <c r="AW219" s="36">
        <f>SUM(AV219/12*2*$E219*$G219*$I219*$L219*AW$9)+(AV219/12*10*$F219*$G219*$J219*$L219*AW$9)</f>
        <v>0</v>
      </c>
      <c r="AX219" s="36"/>
      <c r="AY219" s="36">
        <f>SUM(AX219/12*2*$E219*$G219*$I219*$L219*AY$9)+(AX219/12*10*$F219*$G219*$J219*$L219*AY$9)</f>
        <v>0</v>
      </c>
      <c r="AZ219" s="37"/>
      <c r="BA219" s="36">
        <f>SUM(AZ219/12*2*$E219*$G219*$I219*$L219*BA$9)+(AZ219/12*10*$F219*$G219*$J219*$L219*BA$9)</f>
        <v>0</v>
      </c>
      <c r="BB219" s="37"/>
      <c r="BC219" s="36">
        <f>SUM(BB219/12*2*$E219*$G219*$I219*$L219*BC$9)+(BB219/12*10*$F219*$G219*$J219*$L219*BC$9)</f>
        <v>0</v>
      </c>
      <c r="BD219" s="37"/>
      <c r="BE219" s="36">
        <f>SUM(BD219/12*2*$E219*$G219*$I219*$L219*BE$9)+(BD219/12*10*$F219*$G219*$J219*$L219*BE$9)</f>
        <v>0</v>
      </c>
      <c r="BF219" s="36">
        <v>1</v>
      </c>
      <c r="BG219" s="39">
        <f>(BF219/12*2*$E219*$G219*$I219*$M219*BG$9)+(BF219/12*10*$F219*$G219*$J219*$M219*BG$9)</f>
        <v>116609.37679999997</v>
      </c>
      <c r="BH219" s="60"/>
      <c r="BI219" s="36">
        <f>(BH219/12*2*$E219*$G219*$I219*$M219*BI$9)+(BH219/12*10*$F219*$G219*$J219*$M219*BI$9)</f>
        <v>0</v>
      </c>
      <c r="BJ219" s="40"/>
      <c r="BK219" s="36">
        <f>(BJ219/12*2*$E219*$G219*$I219*$M219*BK$9)+(BJ219/12*10*$F219*$G219*$J219*$M219*BK$9)</f>
        <v>0</v>
      </c>
      <c r="BL219" s="37"/>
      <c r="BM219" s="36">
        <f>(BL219/12*2*$E219*$G219*$I219*$M219*BM$9)+(BL219/12*10*$F219*$G219*$J219*$M219*BM$9)</f>
        <v>0</v>
      </c>
      <c r="BN219" s="37"/>
      <c r="BO219" s="36">
        <f>(BN219/12*10*$F219*$G219*$J219*$M219*BO$9)</f>
        <v>0</v>
      </c>
      <c r="BP219" s="39"/>
      <c r="BQ219" s="36"/>
      <c r="BR219" s="36"/>
      <c r="BS219" s="36">
        <f>(BR219/12*10*$F219*$G219*$J219*$M219*BS$9)</f>
        <v>0</v>
      </c>
      <c r="BT219" s="37"/>
      <c r="BU219" s="36"/>
      <c r="BV219" s="36"/>
      <c r="BW219" s="36">
        <f>(BV219/12*2*$E219*$G219*$I219*$M219*BW$9)+(BV219/12*10*$F219*$G219*$J219*$M219*BW$9)</f>
        <v>0</v>
      </c>
      <c r="BX219" s="37"/>
      <c r="BY219" s="36">
        <f>(BX219/12*2*$E219*$G219*$I219*$M219*BY$9)+(BX219/12*10*$F219*$G219*$J219*$M219*BY$9)</f>
        <v>0</v>
      </c>
      <c r="BZ219" s="40"/>
      <c r="CA219" s="36">
        <f>(BZ219/12*2*$E219*$G219*$I219*$M219*CA$9)+(BZ219/12*10*$F219*$G219*$J219*$M219*CA$9)</f>
        <v>0</v>
      </c>
      <c r="CB219" s="37"/>
      <c r="CC219" s="36">
        <f>(CB219/12*2*$E219*$G219*$I219*$M219*CC$9)+(CB219/12*10*$F219*$G219*$J219*$M219*CC$9)</f>
        <v>0</v>
      </c>
      <c r="CD219" s="37"/>
      <c r="CE219" s="36">
        <f>(CD219/12*2*$E219*$G219*$I219*$M219*CE$9)+(CD219/12*10*$F219*$G219*$J219*$M219*CE$9)</f>
        <v>0</v>
      </c>
      <c r="CF219" s="37"/>
      <c r="CG219" s="36">
        <f>(CF219/12*2*$E219*$G219*$I219*$N219*CG$9)+(CF219/12*10*$F219*$G219*$J219*$N219*CG$9)</f>
        <v>0</v>
      </c>
      <c r="CH219" s="37"/>
      <c r="CI219" s="36">
        <f>(CH219/12*2*$E219*$G219*$I219*$O219*$CI$9)+(CH219/12*10*$F219*$G219*$J219*$O219*$CI$9)</f>
        <v>0</v>
      </c>
      <c r="CJ219" s="36"/>
      <c r="CK219" s="41"/>
      <c r="CL219" s="41"/>
      <c r="CM219" s="41"/>
      <c r="CN219" s="41"/>
      <c r="CO219" s="41"/>
      <c r="CP219" s="42">
        <f t="shared" si="257"/>
        <v>2</v>
      </c>
      <c r="CQ219" s="42">
        <f t="shared" si="257"/>
        <v>213743.95839999994</v>
      </c>
    </row>
    <row r="220" spans="1:95" s="3" customFormat="1" ht="30" hidden="1" customHeight="1" x14ac:dyDescent="0.25">
      <c r="A220" s="54"/>
      <c r="B220" s="54">
        <v>144</v>
      </c>
      <c r="C220" s="55" t="s">
        <v>553</v>
      </c>
      <c r="D220" s="121" t="s">
        <v>554</v>
      </c>
      <c r="E220" s="110">
        <v>16026</v>
      </c>
      <c r="F220" s="110">
        <v>16828</v>
      </c>
      <c r="G220" s="33">
        <v>1.29</v>
      </c>
      <c r="H220" s="34"/>
      <c r="I220" s="35">
        <v>1</v>
      </c>
      <c r="J220" s="111"/>
      <c r="K220" s="35"/>
      <c r="L220" s="97">
        <v>1.4</v>
      </c>
      <c r="M220" s="97">
        <v>1.68</v>
      </c>
      <c r="N220" s="97">
        <v>2.23</v>
      </c>
      <c r="O220" s="97">
        <v>2.57</v>
      </c>
      <c r="P220" s="36">
        <v>0</v>
      </c>
      <c r="Q220" s="36">
        <f>SUM(P220/12*2*$E220*$G220*$I220*$L220*$Q$9)+(P220/12*10*$F220*$G220*$I220*$L220*$Q$9)</f>
        <v>0</v>
      </c>
      <c r="R220" s="37">
        <v>0</v>
      </c>
      <c r="S220" s="36">
        <f>SUM(R220/12*2*$E220*$G220*$I220*$L220*S$9)+(R220/12*10*$F220*$G220*$I220*$L220*S$9)</f>
        <v>0</v>
      </c>
      <c r="T220" s="36">
        <v>0</v>
      </c>
      <c r="U220" s="36">
        <f>SUM(T220/12*2*$E220*$G220*$I220*$L220*U$9)+(T220/12*10*$F220*$G220*$I220*$L220*U$9)</f>
        <v>0</v>
      </c>
      <c r="V220" s="37">
        <v>0</v>
      </c>
      <c r="W220" s="36">
        <f>SUM(V220/12*2*$E220*$G220*$I220*$L220*$W$9)+(V220/12*10*$F220*$G220*$I220*$L220*$W$9)</f>
        <v>0</v>
      </c>
      <c r="X220" s="37">
        <v>0</v>
      </c>
      <c r="Y220" s="38">
        <f>SUM(X220/12*2*$E220*$G220*$I220*$L220*Y$9)+(X220/12*10*$F220*$G220*$I220*$L220*Y$9)</f>
        <v>0</v>
      </c>
      <c r="Z220" s="37"/>
      <c r="AA220" s="36"/>
      <c r="AB220" s="37"/>
      <c r="AC220" s="36">
        <f>(AB220/12*2*$E220*$G220*$I220*$L220)+(AB220/12*10*$F220*$G220*$I220*$L220)</f>
        <v>0</v>
      </c>
      <c r="AD220" s="37">
        <v>0</v>
      </c>
      <c r="AE220" s="36">
        <f>(AD220/12*2*$E220*$G220*$I220*$L220*AE$9)+(AD220/12*10*$F220*$G220*$I220*$L220*AE$9)</f>
        <v>0</v>
      </c>
      <c r="AF220" s="37"/>
      <c r="AG220" s="36">
        <f>(AF220/12*2*$E220*$G220*$I220*$M220*AG$9)+(AF220/12*10*$F220*$G220*$I220*$M220*AG$9)</f>
        <v>0</v>
      </c>
      <c r="AH220" s="37"/>
      <c r="AI220" s="36">
        <f>(AH220/12*2*$E220*$G220*$I220*$M220*$AI$9)+(AH220/12*10*$F220*$G220*$I220*$M220*$AI$9)</f>
        <v>0</v>
      </c>
      <c r="AJ220" s="36">
        <v>0</v>
      </c>
      <c r="AK220" s="36">
        <v>0</v>
      </c>
      <c r="AL220" s="37"/>
      <c r="AM220" s="36">
        <f>SUM(AL220/12*2*$E220*$G220*$I220*$L220*AM$9)+(AL220/12*10*$F220*$G220*$I220*$L220*AM$9)</f>
        <v>0</v>
      </c>
      <c r="AN220" s="37">
        <v>0</v>
      </c>
      <c r="AO220" s="36">
        <f>SUM(AN220/12*2*$E220*$G220*$I220*$L220*$AE$9)+(AN220/12*10*$F220*$G220*$I220*$L220*$AE$9)</f>
        <v>0</v>
      </c>
      <c r="AP220" s="37"/>
      <c r="AQ220" s="36"/>
      <c r="AR220" s="37"/>
      <c r="AS220" s="36">
        <f>SUM(AR220/12*2*$E220*$G220*$I220*$L220*AS$9)+(AR220/12*10*$F220*$G220*$I220*$L220*AS$9)</f>
        <v>0</v>
      </c>
      <c r="AT220" s="37">
        <v>0</v>
      </c>
      <c r="AU220" s="36">
        <f>SUM(AT220/12*2*$E220*$G220*$I220*$L220*$AI$9)+(AT220/12*10*$F220*$G220*$I220*$L220*$AI$9)</f>
        <v>0</v>
      </c>
      <c r="AV220" s="37">
        <v>0</v>
      </c>
      <c r="AW220" s="36">
        <f>SUM(AV220/12*2*$E220*$G220*$I220*$L220*AW$9)+(AV220/12*10*$F220*$G220*$I220*$L220*AW$9)</f>
        <v>0</v>
      </c>
      <c r="AX220" s="37">
        <v>0</v>
      </c>
      <c r="AY220" s="36">
        <f>SUM(AX220/12*2*$E220*$G220*$I220*$L220*AY$9)+(AX220/12*10*$F220*$G220*$I220*$L220*AY$9)</f>
        <v>0</v>
      </c>
      <c r="AZ220" s="37">
        <v>0</v>
      </c>
      <c r="BA220" s="36">
        <f>SUM(AZ220/12*2*$E220*$G220*$I220*$L220*BA$9)+(AZ220/12*10*$F220*$G220*$I220*$L220*BA$9)</f>
        <v>0</v>
      </c>
      <c r="BB220" s="37">
        <v>0</v>
      </c>
      <c r="BC220" s="36">
        <f>SUM(BB220/12*2*$E220*$G220*$I220*$L220*BC$9)+(BB220/12*10*$F220*$G220*$I220*$L220*BC$9)</f>
        <v>0</v>
      </c>
      <c r="BD220" s="37"/>
      <c r="BE220" s="36">
        <f>SUM(BD220/12*2*$E220*$G220*$I220*$L220*BE$9)+(BD220/12*10*$F220*$G220*$I220*$L220*BE$9)</f>
        <v>0</v>
      </c>
      <c r="BF220" s="37">
        <v>0</v>
      </c>
      <c r="BG220" s="39">
        <f>(BF220/12*2*$E220*$G220*$I220*$M220*BG$9)+(BF220/12*10*$F220*$G220*$I220*$M220*BG$9)</f>
        <v>0</v>
      </c>
      <c r="BH220" s="60">
        <v>0</v>
      </c>
      <c r="BI220" s="36">
        <f>(BH220/12*2*$E220*$G220*$I220*$M220*BI$9)+(BH220/12*10*$F220*$G220*$I220*$M220*BI$9)</f>
        <v>0</v>
      </c>
      <c r="BJ220" s="37">
        <v>0</v>
      </c>
      <c r="BK220" s="36">
        <f>(BJ220/12*2*$E220*$G220*$I220*$M220*BK$9)+(BJ220/12*10*$F220*$G220*$I220*$M220*BK$9)</f>
        <v>0</v>
      </c>
      <c r="BL220" s="37">
        <v>0</v>
      </c>
      <c r="BM220" s="36">
        <f>(BL220/12*2*$E220*$G220*$I220*$M220*BM$9)+(BL220/12*10*$F220*$G220*$I220*$M220*BM$9)</f>
        <v>0</v>
      </c>
      <c r="BN220" s="37"/>
      <c r="BO220" s="36">
        <f>(BN220/12*10*$F220*$G220*$I220*$M220*BO$9)</f>
        <v>0</v>
      </c>
      <c r="BP220" s="39"/>
      <c r="BQ220" s="36"/>
      <c r="BR220" s="37">
        <v>0</v>
      </c>
      <c r="BS220" s="36">
        <f>(BR220/12*10*$F220*$G220*$I220*$M220*BS$9)</f>
        <v>0</v>
      </c>
      <c r="BT220" s="37">
        <v>0</v>
      </c>
      <c r="BU220" s="36">
        <f>(BT220/12*2*$E220*$G220*$I220*$M220*BU$9)+(BT220/12*10*$F220*$G220*$I220*$M220*BU$9)</f>
        <v>0</v>
      </c>
      <c r="BV220" s="36">
        <v>0</v>
      </c>
      <c r="BW220" s="36">
        <f>(BV220/12*2*$E220*$G220*$I220*$M220*BW$9)+(BV220/12*10*$F220*$G220*$I220*$M220*BW$9)</f>
        <v>0</v>
      </c>
      <c r="BX220" s="37">
        <v>0</v>
      </c>
      <c r="BY220" s="36">
        <f>(BX220/12*2*$E220*$G220*$I220*$M220*BY$9)+(BX220/12*10*$F220*$G220*$I220*$M220*BY$9)</f>
        <v>0</v>
      </c>
      <c r="BZ220" s="37"/>
      <c r="CA220" s="36">
        <f>(BZ220/12*2*$E220*$G220*$I220*$M220*CA$9)+(BZ220/12*10*$F220*$G220*$I220*$M220*CA$9)</f>
        <v>0</v>
      </c>
      <c r="CB220" s="37"/>
      <c r="CC220" s="36">
        <f>(CB220/12*2*$E220*$G220*$I220*$M220*CC$9)+(CB220/12*10*$F220*$G220*$I220*$M220*CC$9)</f>
        <v>0</v>
      </c>
      <c r="CD220" s="37">
        <v>0</v>
      </c>
      <c r="CE220" s="36">
        <f>(CD220/12*2*$E220*$G220*$I220*$M220*CE$9)+(CD220/12*10*$F220*$G220*$I220*$M220*CE$9)</f>
        <v>0</v>
      </c>
      <c r="CF220" s="37">
        <v>0</v>
      </c>
      <c r="CG220" s="36">
        <f>(CF220/12*2*$E220*$G220*$I220*$N220*CG$9)+(CF220/12*10*$F220*$G220*$I220*$N220*CG$9)</f>
        <v>0</v>
      </c>
      <c r="CH220" s="37">
        <v>0</v>
      </c>
      <c r="CI220" s="36">
        <f>(CH220/12*2*$E220*$G220*$I220*$O220*$CI$9)+(CH220/12*10*$F220*$G220*$I220*$O220*$CI$9)</f>
        <v>0</v>
      </c>
      <c r="CJ220" s="36"/>
      <c r="CK220" s="41">
        <f t="shared" si="256"/>
        <v>0</v>
      </c>
      <c r="CL220" s="41"/>
      <c r="CM220" s="41"/>
      <c r="CN220" s="41"/>
      <c r="CO220" s="41"/>
      <c r="CP220" s="42">
        <f t="shared" si="257"/>
        <v>0</v>
      </c>
      <c r="CQ220" s="42">
        <f t="shared" si="257"/>
        <v>0</v>
      </c>
    </row>
    <row r="221" spans="1:95" s="3" customFormat="1" ht="18.75" hidden="1" customHeight="1" x14ac:dyDescent="0.25">
      <c r="A221" s="54"/>
      <c r="B221" s="54">
        <v>145</v>
      </c>
      <c r="C221" s="55" t="s">
        <v>555</v>
      </c>
      <c r="D221" s="121" t="s">
        <v>556</v>
      </c>
      <c r="E221" s="110">
        <v>16026</v>
      </c>
      <c r="F221" s="110">
        <v>16828</v>
      </c>
      <c r="G221" s="33">
        <v>2.6</v>
      </c>
      <c r="H221" s="34"/>
      <c r="I221" s="81">
        <v>1</v>
      </c>
      <c r="J221" s="111"/>
      <c r="K221" s="35"/>
      <c r="L221" s="97">
        <v>1.4</v>
      </c>
      <c r="M221" s="97">
        <v>1.68</v>
      </c>
      <c r="N221" s="97">
        <v>2.23</v>
      </c>
      <c r="O221" s="97">
        <v>2.57</v>
      </c>
      <c r="P221" s="36">
        <v>0</v>
      </c>
      <c r="Q221" s="36">
        <f>SUM(P221/12*2*$E221*$G221*$I221*$L221*$Q$9)+(P221/12*10*$F221*$G221*$I221*$L221*$Q$9)</f>
        <v>0</v>
      </c>
      <c r="R221" s="37">
        <v>0</v>
      </c>
      <c r="S221" s="36">
        <f>SUM(R221/12*2*$E221*$G221*$I221*$L221*S$9)+(R221/12*10*$F221*$G221*$I221*$L221*S$9)</f>
        <v>0</v>
      </c>
      <c r="T221" s="36">
        <v>0</v>
      </c>
      <c r="U221" s="36">
        <f>SUM(T221/12*2*$E221*$G221*$I221*$L221*U$9)+(T221/12*10*$F221*$G221*$I221*$L221*U$9)</f>
        <v>0</v>
      </c>
      <c r="V221" s="37">
        <v>0</v>
      </c>
      <c r="W221" s="36">
        <f>SUM(V221/12*2*$E221*$G221*$I221*$L221*$W$9)+(V221/12*10*$F221*$G221*$I221*$L221*$W$9)</f>
        <v>0</v>
      </c>
      <c r="X221" s="37">
        <v>0</v>
      </c>
      <c r="Y221" s="38">
        <f>SUM(X221/12*2*$E221*$G221*$I221*$L221*Y$9)+(X221/12*10*$F221*$G221*$I221*$L221*Y$9)</f>
        <v>0</v>
      </c>
      <c r="Z221" s="37"/>
      <c r="AA221" s="36"/>
      <c r="AB221" s="37"/>
      <c r="AC221" s="36">
        <f>(AB221/12*2*$E221*$G221*$I221*$L221)+(AB221/12*10*$F221*$G221*$I221*$L221)</f>
        <v>0</v>
      </c>
      <c r="AD221" s="37">
        <v>0</v>
      </c>
      <c r="AE221" s="36">
        <f>(AD221/12*2*$E221*$G221*$I221*$L221*AE$9)+(AD221/12*10*$F221*$G221*$I221*$L221*AE$9)</f>
        <v>0</v>
      </c>
      <c r="AF221" s="37"/>
      <c r="AG221" s="36">
        <f>(AF221/12*2*$E221*$G221*$I221*$M221*AG$9)+(AF221/12*10*$F221*$G221*$I221*$M221*AG$9)</f>
        <v>0</v>
      </c>
      <c r="AH221" s="37">
        <v>0</v>
      </c>
      <c r="AI221" s="36">
        <f>(AH221/12*2*$E221*$G221*$I221*$M221*$AI$9)+(AH221/12*10*$F221*$G221*$I221*$M221*$AI$9)</f>
        <v>0</v>
      </c>
      <c r="AJ221" s="36">
        <v>0</v>
      </c>
      <c r="AK221" s="36">
        <v>0</v>
      </c>
      <c r="AL221" s="37"/>
      <c r="AM221" s="36">
        <f>SUM(AL221/12*2*$E221*$G221*$I221*$L221*AM$9)+(AL221/12*10*$F221*$G221*$I221*$L221*AM$9)</f>
        <v>0</v>
      </c>
      <c r="AN221" s="37">
        <v>0</v>
      </c>
      <c r="AO221" s="36">
        <f>SUM(AN221/12*2*$E221*$G221*$I221*$L221*$AE$9)+(AN221/12*10*$F221*$G221*$I221*$L221*$AE$9)</f>
        <v>0</v>
      </c>
      <c r="AP221" s="37"/>
      <c r="AQ221" s="36"/>
      <c r="AR221" s="37"/>
      <c r="AS221" s="36">
        <f>SUM(AR221/12*2*$E221*$G221*$I221*$L221*AS$9)+(AR221/12*10*$F221*$G221*$I221*$L221*AS$9)</f>
        <v>0</v>
      </c>
      <c r="AT221" s="37">
        <v>0</v>
      </c>
      <c r="AU221" s="36">
        <f>SUM(AT221/12*2*$E221*$G221*$I221*$L221*$AI$9)+(AT221/12*10*$F221*$G221*$I221*$L221*$AI$9)</f>
        <v>0</v>
      </c>
      <c r="AV221" s="37">
        <v>0</v>
      </c>
      <c r="AW221" s="36">
        <f>SUM(AV221/12*2*$E221*$G221*$I221*$L221*AW$9)+(AV221/12*10*$F221*$G221*$I221*$L221*AW$9)</f>
        <v>0</v>
      </c>
      <c r="AX221" s="37">
        <v>0</v>
      </c>
      <c r="AY221" s="36">
        <f>SUM(AX221/12*2*$E221*$G221*$I221*$L221*AY$9)+(AX221/12*10*$F221*$G221*$I221*$L221*AY$9)</f>
        <v>0</v>
      </c>
      <c r="AZ221" s="37">
        <v>0</v>
      </c>
      <c r="BA221" s="36">
        <f>SUM(AZ221/12*2*$E221*$G221*$I221*$L221*BA$9)+(AZ221/12*10*$F221*$G221*$I221*$L221*BA$9)</f>
        <v>0</v>
      </c>
      <c r="BB221" s="37">
        <v>0</v>
      </c>
      <c r="BC221" s="36">
        <f>SUM(BB221/12*2*$E221*$G221*$I221*$L221*BC$9)+(BB221/12*10*$F221*$G221*$I221*$L221*BC$9)</f>
        <v>0</v>
      </c>
      <c r="BD221" s="37"/>
      <c r="BE221" s="36">
        <f>SUM(BD221/12*2*$E221*$G221*$I221*$L221*BE$9)+(BD221/12*10*$F221*$G221*$I221*$L221*BE$9)</f>
        <v>0</v>
      </c>
      <c r="BF221" s="37">
        <v>0</v>
      </c>
      <c r="BG221" s="39">
        <f>(BF221/12*2*$E221*$G221*$I221*$M221*BG$9)+(BF221/12*10*$F221*$G221*$I221*$M221*BG$9)</f>
        <v>0</v>
      </c>
      <c r="BH221" s="60">
        <v>0</v>
      </c>
      <c r="BI221" s="36">
        <f>(BH221/12*2*$E221*$G221*$I221*$M221*BI$9)+(BH221/12*10*$F221*$G221*$I221*$M221*BI$9)</f>
        <v>0</v>
      </c>
      <c r="BJ221" s="37">
        <v>0</v>
      </c>
      <c r="BK221" s="36">
        <f>(BJ221/12*2*$E221*$G221*$I221*$M221*BK$9)+(BJ221/12*10*$F221*$G221*$I221*$M221*BK$9)</f>
        <v>0</v>
      </c>
      <c r="BL221" s="37">
        <v>0</v>
      </c>
      <c r="BM221" s="36">
        <f>(BL221/12*2*$E221*$G221*$I221*$M221*BM$9)+(BL221/12*10*$F221*$G221*$I221*$M221*BM$9)</f>
        <v>0</v>
      </c>
      <c r="BN221" s="37">
        <v>0</v>
      </c>
      <c r="BO221" s="36">
        <f>(BN221/12*10*$F221*$G221*$I221*$M221*BO$9)</f>
        <v>0</v>
      </c>
      <c r="BP221" s="39"/>
      <c r="BQ221" s="36"/>
      <c r="BR221" s="37">
        <v>0</v>
      </c>
      <c r="BS221" s="36">
        <f>(BR221/12*10*$F221*$G221*$I221*$M221*BS$9)</f>
        <v>0</v>
      </c>
      <c r="BT221" s="37">
        <v>0</v>
      </c>
      <c r="BU221" s="36">
        <f>(BT221/12*2*$E221*$G221*$I221*$M221*BU$9)+(BT221/12*10*$F221*$G221*$I221*$M221*BU$9)</f>
        <v>0</v>
      </c>
      <c r="BV221" s="36"/>
      <c r="BW221" s="36">
        <f>(BV221/12*2*$E221*$G221*$I221*$M221*BW$9)+(BV221/12*10*$F221*$G221*$I221*$M221*BW$9)</f>
        <v>0</v>
      </c>
      <c r="BX221" s="37">
        <v>0</v>
      </c>
      <c r="BY221" s="36">
        <f>(BX221/12*2*$E221*$G221*$I221*$M221*BY$9)+(BX221/12*10*$F221*$G221*$I221*$M221*BY$9)</f>
        <v>0</v>
      </c>
      <c r="BZ221" s="37"/>
      <c r="CA221" s="36">
        <f>(BZ221/12*2*$E221*$G221*$I221*$M221*CA$9)+(BZ221/12*10*$F221*$G221*$I221*$M221*CA$9)</f>
        <v>0</v>
      </c>
      <c r="CB221" s="37"/>
      <c r="CC221" s="36">
        <f>(CB221/12*2*$E221*$G221*$I221*$M221*CC$9)+(CB221/12*10*$F221*$G221*$I221*$M221*CC$9)</f>
        <v>0</v>
      </c>
      <c r="CD221" s="37">
        <v>0</v>
      </c>
      <c r="CE221" s="36">
        <f>(CD221/12*2*$E221*$G221*$I221*$M221*CE$9)+(CD221/12*10*$F221*$G221*$I221*$M221*CE$9)</f>
        <v>0</v>
      </c>
      <c r="CF221" s="37">
        <v>0</v>
      </c>
      <c r="CG221" s="36">
        <f>(CF221/12*2*$E221*$G221*$I221*$N221*CG$9)+(CF221/12*10*$F221*$G221*$I221*$N221*CG$9)</f>
        <v>0</v>
      </c>
      <c r="CH221" s="37">
        <v>0</v>
      </c>
      <c r="CI221" s="36">
        <f>(CH221/12*2*$E221*$G221*$I221*$O221*$CI$9)+(CH221/12*10*$F221*$G221*$I221*$O221*$CI$9)</f>
        <v>0</v>
      </c>
      <c r="CJ221" s="36"/>
      <c r="CK221" s="41">
        <f t="shared" si="256"/>
        <v>0</v>
      </c>
      <c r="CL221" s="41"/>
      <c r="CM221" s="41"/>
      <c r="CN221" s="41"/>
      <c r="CO221" s="41"/>
      <c r="CP221" s="42">
        <f t="shared" si="257"/>
        <v>0</v>
      </c>
      <c r="CQ221" s="42">
        <f t="shared" si="257"/>
        <v>0</v>
      </c>
    </row>
    <row r="222" spans="1:95" ht="18.75" hidden="1" customHeight="1" x14ac:dyDescent="0.25">
      <c r="A222" s="124">
        <v>32</v>
      </c>
      <c r="B222" s="124"/>
      <c r="C222" s="149" t="s">
        <v>557</v>
      </c>
      <c r="D222" s="141" t="s">
        <v>558</v>
      </c>
      <c r="E222" s="110">
        <v>16026</v>
      </c>
      <c r="F222" s="134">
        <v>16828</v>
      </c>
      <c r="G222" s="138">
        <v>1.85</v>
      </c>
      <c r="H222" s="136"/>
      <c r="I222" s="128"/>
      <c r="J222" s="129"/>
      <c r="K222" s="29"/>
      <c r="L222" s="97">
        <v>1.4</v>
      </c>
      <c r="M222" s="97">
        <v>1.68</v>
      </c>
      <c r="N222" s="97">
        <v>2.23</v>
      </c>
      <c r="O222" s="97">
        <v>2.57</v>
      </c>
      <c r="P222" s="139">
        <f>SUM(P223:P230)</f>
        <v>1</v>
      </c>
      <c r="Q222" s="139">
        <f t="shared" ref="Q222:BH222" si="258">SUM(Q223:Q230)</f>
        <v>83635.159999999989</v>
      </c>
      <c r="R222" s="139">
        <f t="shared" si="258"/>
        <v>0</v>
      </c>
      <c r="S222" s="139">
        <f t="shared" si="258"/>
        <v>0</v>
      </c>
      <c r="T222" s="139">
        <f t="shared" si="258"/>
        <v>0</v>
      </c>
      <c r="U222" s="139">
        <f t="shared" si="258"/>
        <v>0</v>
      </c>
      <c r="V222" s="139">
        <f t="shared" si="258"/>
        <v>0</v>
      </c>
      <c r="W222" s="139">
        <f t="shared" si="258"/>
        <v>0</v>
      </c>
      <c r="X222" s="139">
        <f t="shared" si="258"/>
        <v>0</v>
      </c>
      <c r="Y222" s="139">
        <f t="shared" si="258"/>
        <v>0</v>
      </c>
      <c r="Z222" s="139">
        <f t="shared" si="258"/>
        <v>0</v>
      </c>
      <c r="AA222" s="139">
        <f t="shared" si="258"/>
        <v>0</v>
      </c>
      <c r="AB222" s="139">
        <f t="shared" si="258"/>
        <v>0</v>
      </c>
      <c r="AC222" s="139">
        <f t="shared" si="258"/>
        <v>0</v>
      </c>
      <c r="AD222" s="139">
        <f t="shared" si="258"/>
        <v>0</v>
      </c>
      <c r="AE222" s="139">
        <f t="shared" si="258"/>
        <v>0</v>
      </c>
      <c r="AF222" s="139">
        <f t="shared" si="258"/>
        <v>0</v>
      </c>
      <c r="AG222" s="139">
        <f t="shared" si="258"/>
        <v>0</v>
      </c>
      <c r="AH222" s="139">
        <f>SUM(AH223:AH230)</f>
        <v>0</v>
      </c>
      <c r="AI222" s="139">
        <f t="shared" si="258"/>
        <v>0</v>
      </c>
      <c r="AJ222" s="139">
        <v>0</v>
      </c>
      <c r="AK222" s="139">
        <v>0</v>
      </c>
      <c r="AL222" s="139">
        <f t="shared" si="258"/>
        <v>0</v>
      </c>
      <c r="AM222" s="139">
        <f t="shared" si="258"/>
        <v>0</v>
      </c>
      <c r="AN222" s="139">
        <f t="shared" si="258"/>
        <v>0</v>
      </c>
      <c r="AO222" s="139">
        <f t="shared" si="258"/>
        <v>0</v>
      </c>
      <c r="AP222" s="139">
        <f t="shared" si="258"/>
        <v>0</v>
      </c>
      <c r="AQ222" s="139">
        <f t="shared" si="258"/>
        <v>0</v>
      </c>
      <c r="AR222" s="139">
        <f t="shared" si="258"/>
        <v>0</v>
      </c>
      <c r="AS222" s="139">
        <f t="shared" si="258"/>
        <v>0</v>
      </c>
      <c r="AT222" s="139">
        <f t="shared" si="258"/>
        <v>0</v>
      </c>
      <c r="AU222" s="139">
        <f t="shared" si="258"/>
        <v>0</v>
      </c>
      <c r="AV222" s="139">
        <f t="shared" si="258"/>
        <v>0</v>
      </c>
      <c r="AW222" s="139">
        <f t="shared" si="258"/>
        <v>0</v>
      </c>
      <c r="AX222" s="139">
        <f t="shared" si="258"/>
        <v>0</v>
      </c>
      <c r="AY222" s="139">
        <f t="shared" si="258"/>
        <v>0</v>
      </c>
      <c r="AZ222" s="139">
        <f t="shared" si="258"/>
        <v>0</v>
      </c>
      <c r="BA222" s="139">
        <f>SUM(BA223:BA230)</f>
        <v>0</v>
      </c>
      <c r="BB222" s="139">
        <f t="shared" si="258"/>
        <v>0</v>
      </c>
      <c r="BC222" s="139">
        <f>SUM(BC223:BC230)</f>
        <v>0</v>
      </c>
      <c r="BD222" s="139">
        <f t="shared" si="258"/>
        <v>1</v>
      </c>
      <c r="BE222" s="139">
        <f t="shared" si="258"/>
        <v>49315.060666666657</v>
      </c>
      <c r="BF222" s="139">
        <f t="shared" si="258"/>
        <v>0</v>
      </c>
      <c r="BG222" s="139">
        <f t="shared" si="258"/>
        <v>0</v>
      </c>
      <c r="BH222" s="139">
        <f t="shared" si="258"/>
        <v>0</v>
      </c>
      <c r="BI222" s="139">
        <f>SUM(BI223:BI230)</f>
        <v>0</v>
      </c>
      <c r="BJ222" s="139">
        <f t="shared" ref="BJ222:BT222" si="259">SUM(BJ223:BJ230)</f>
        <v>0</v>
      </c>
      <c r="BK222" s="139">
        <f t="shared" si="259"/>
        <v>0</v>
      </c>
      <c r="BL222" s="139">
        <f t="shared" si="259"/>
        <v>0</v>
      </c>
      <c r="BM222" s="139">
        <f t="shared" si="259"/>
        <v>0</v>
      </c>
      <c r="BN222" s="139">
        <f t="shared" si="259"/>
        <v>0</v>
      </c>
      <c r="BO222" s="139">
        <f>SUM(BO223:BO230)</f>
        <v>0</v>
      </c>
      <c r="BP222" s="139">
        <f t="shared" si="259"/>
        <v>0</v>
      </c>
      <c r="BQ222" s="139">
        <f>SUM(BQ223:BQ230)</f>
        <v>0</v>
      </c>
      <c r="BR222" s="139">
        <f t="shared" si="259"/>
        <v>0</v>
      </c>
      <c r="BS222" s="139">
        <f>SUM(BS223:BS230)</f>
        <v>0</v>
      </c>
      <c r="BT222" s="139">
        <f t="shared" si="259"/>
        <v>0</v>
      </c>
      <c r="BU222" s="139">
        <f>SUM(BU223:BU230)</f>
        <v>0</v>
      </c>
      <c r="BV222" s="139">
        <f t="shared" ref="BV222:CQ222" si="260">SUM(BV223:BV230)</f>
        <v>0</v>
      </c>
      <c r="BW222" s="139">
        <f t="shared" si="260"/>
        <v>0</v>
      </c>
      <c r="BX222" s="139">
        <f t="shared" si="260"/>
        <v>0</v>
      </c>
      <c r="BY222" s="139">
        <f t="shared" si="260"/>
        <v>0</v>
      </c>
      <c r="BZ222" s="139">
        <f t="shared" si="260"/>
        <v>0</v>
      </c>
      <c r="CA222" s="139">
        <f t="shared" si="260"/>
        <v>0</v>
      </c>
      <c r="CB222" s="139">
        <f t="shared" si="260"/>
        <v>0</v>
      </c>
      <c r="CC222" s="139">
        <f t="shared" si="260"/>
        <v>0</v>
      </c>
      <c r="CD222" s="139">
        <f t="shared" si="260"/>
        <v>0</v>
      </c>
      <c r="CE222" s="139">
        <f t="shared" si="260"/>
        <v>0</v>
      </c>
      <c r="CF222" s="139">
        <f t="shared" si="260"/>
        <v>0</v>
      </c>
      <c r="CG222" s="139">
        <f t="shared" si="260"/>
        <v>0</v>
      </c>
      <c r="CH222" s="139">
        <f t="shared" si="260"/>
        <v>0</v>
      </c>
      <c r="CI222" s="139">
        <f t="shared" si="260"/>
        <v>0</v>
      </c>
      <c r="CJ222" s="139">
        <f t="shared" si="260"/>
        <v>50</v>
      </c>
      <c r="CK222" s="139">
        <f t="shared" si="260"/>
        <v>4978250.2</v>
      </c>
      <c r="CL222" s="139">
        <f t="shared" si="260"/>
        <v>0</v>
      </c>
      <c r="CM222" s="139">
        <f t="shared" si="260"/>
        <v>0</v>
      </c>
      <c r="CN222" s="139">
        <f t="shared" si="260"/>
        <v>0</v>
      </c>
      <c r="CO222" s="139">
        <f t="shared" si="260"/>
        <v>0</v>
      </c>
      <c r="CP222" s="139">
        <f t="shared" si="260"/>
        <v>52</v>
      </c>
      <c r="CQ222" s="139">
        <f t="shared" si="260"/>
        <v>5111200.4206666667</v>
      </c>
    </row>
    <row r="223" spans="1:95" s="3" customFormat="1" ht="30" hidden="1" customHeight="1" x14ac:dyDescent="0.25">
      <c r="A223" s="54"/>
      <c r="B223" s="54">
        <v>146</v>
      </c>
      <c r="C223" s="55" t="s">
        <v>559</v>
      </c>
      <c r="D223" s="121" t="s">
        <v>560</v>
      </c>
      <c r="E223" s="110">
        <v>16026</v>
      </c>
      <c r="F223" s="110">
        <v>16828</v>
      </c>
      <c r="G223" s="33">
        <v>2.11</v>
      </c>
      <c r="H223" s="34"/>
      <c r="I223" s="35">
        <v>1</v>
      </c>
      <c r="J223" s="111"/>
      <c r="K223" s="35"/>
      <c r="L223" s="97">
        <v>1.4</v>
      </c>
      <c r="M223" s="97">
        <v>1.68</v>
      </c>
      <c r="N223" s="97">
        <v>2.23</v>
      </c>
      <c r="O223" s="97">
        <v>2.57</v>
      </c>
      <c r="P223" s="36"/>
      <c r="Q223" s="82">
        <f>SUM(P223/12*12*$F223*$G223*$I223*$L223*$Q$9)</f>
        <v>0</v>
      </c>
      <c r="R223" s="37">
        <v>0</v>
      </c>
      <c r="S223" s="36">
        <f t="shared" ref="S223:S230" si="261">SUM(R223/12*2*$E223*$G223*$I223*$L223*S$9)+(R223/12*10*$F223*$G223*$I223*$L223*S$9)</f>
        <v>0</v>
      </c>
      <c r="T223" s="36">
        <v>0</v>
      </c>
      <c r="U223" s="36">
        <f t="shared" ref="U223:U230" si="262">SUM(T223/12*2*$E223*$G223*$I223*$L223*U$9)+(T223/12*10*$F223*$G223*$I223*$L223*U$9)</f>
        <v>0</v>
      </c>
      <c r="V223" s="37">
        <v>0</v>
      </c>
      <c r="W223" s="36">
        <f t="shared" ref="W223:W230" si="263">SUM(V223/12*2*$E223*$G223*$I223*$L223*$W$9)+(V223/12*10*$F223*$G223*$I223*$L223*$W$9)</f>
        <v>0</v>
      </c>
      <c r="X223" s="37">
        <v>0</v>
      </c>
      <c r="Y223" s="38">
        <f t="shared" ref="Y223:Y230" si="264">SUM(X223/12*2*$E223*$G223*$I223*$L223*Y$9)+(X223/12*10*$F223*$G223*$I223*$L223*Y$9)</f>
        <v>0</v>
      </c>
      <c r="Z223" s="37"/>
      <c r="AA223" s="36"/>
      <c r="AB223" s="37"/>
      <c r="AC223" s="36">
        <f t="shared" ref="AC223:AC230" si="265">(AB223/12*2*$E223*$G223*$I223*$L223)+(AB223/12*10*$F223*$G223*$I223*$L223)</f>
        <v>0</v>
      </c>
      <c r="AD223" s="37"/>
      <c r="AE223" s="36">
        <f t="shared" ref="AE223:AE230" si="266">(AD223/12*2*$E223*$G223*$I223*$L223*AE$9)+(AD223/12*10*$F223*$G223*$I223*$L223*AE$9)</f>
        <v>0</v>
      </c>
      <c r="AF223" s="37"/>
      <c r="AG223" s="36">
        <f t="shared" ref="AG223:AG230" si="267">(AF223/12*2*$E223*$G223*$I223*$M223*AG$9)+(AF223/12*10*$F223*$G223*$I223*$M223*AG$9)</f>
        <v>0</v>
      </c>
      <c r="AH223" s="37">
        <v>0</v>
      </c>
      <c r="AI223" s="36">
        <f t="shared" ref="AI223:AI230" si="268">(AH223/12*2*$E223*$G223*$I223*$M223*$AI$9)+(AH223/12*10*$F223*$G223*$I223*$M223*$AI$9)</f>
        <v>0</v>
      </c>
      <c r="AJ223" s="36">
        <v>0</v>
      </c>
      <c r="AK223" s="36">
        <v>0</v>
      </c>
      <c r="AL223" s="37"/>
      <c r="AM223" s="36">
        <f t="shared" ref="AM223:AM230" si="269">SUM(AL223/12*2*$E223*$G223*$I223*$L223*AM$9)+(AL223/12*10*$F223*$G223*$I223*$L223*AM$9)</f>
        <v>0</v>
      </c>
      <c r="AN223" s="37">
        <v>0</v>
      </c>
      <c r="AO223" s="36">
        <f t="shared" ref="AO223:AO230" si="270">SUM(AN223/12*2*$E223*$G223*$I223*$L223*$AE$9)+(AN223/12*10*$F223*$G223*$I223*$L223*$AE$9)</f>
        <v>0</v>
      </c>
      <c r="AP223" s="37"/>
      <c r="AQ223" s="36"/>
      <c r="AR223" s="37"/>
      <c r="AS223" s="36">
        <f t="shared" ref="AS223:AS230" si="271">SUM(AR223/12*2*$E223*$G223*$I223*$L223*AS$9)+(AR223/12*10*$F223*$G223*$I223*$L223*AS$9)</f>
        <v>0</v>
      </c>
      <c r="AT223" s="37">
        <v>0</v>
      </c>
      <c r="AU223" s="36">
        <f t="shared" ref="AU223:AU230" si="272">SUM(AT223/12*2*$E223*$G223*$I223*$L223*$AI$9)+(AT223/12*10*$F223*$G223*$I223*$L223*$AI$9)</f>
        <v>0</v>
      </c>
      <c r="AV223" s="37">
        <v>0</v>
      </c>
      <c r="AW223" s="36">
        <f t="shared" ref="AW223:AW230" si="273">SUM(AV223/12*2*$E223*$G223*$I223*$L223*AW$9)+(AV223/12*10*$F223*$G223*$I223*$L223*AW$9)</f>
        <v>0</v>
      </c>
      <c r="AX223" s="37">
        <v>0</v>
      </c>
      <c r="AY223" s="36">
        <f t="shared" ref="AY223:AY230" si="274">SUM(AX223/12*2*$E223*$G223*$I223*$L223*AY$9)+(AX223/12*10*$F223*$G223*$I223*$L223*AY$9)</f>
        <v>0</v>
      </c>
      <c r="AZ223" s="37">
        <v>0</v>
      </c>
      <c r="BA223" s="36">
        <f t="shared" ref="BA223:BA230" si="275">SUM(AZ223/12*2*$E223*$G223*$I223*$L223*BA$9)+(AZ223/12*10*$F223*$G223*$I223*$L223*BA$9)</f>
        <v>0</v>
      </c>
      <c r="BB223" s="37">
        <v>0</v>
      </c>
      <c r="BC223" s="36">
        <f t="shared" ref="BC223:BC230" si="276">SUM(BB223/12*2*$E223*$G223*$I223*$L223*BC$9)+(BB223/12*10*$F223*$G223*$I223*$L223*BC$9)</f>
        <v>0</v>
      </c>
      <c r="BD223" s="36">
        <v>1</v>
      </c>
      <c r="BE223" s="36">
        <f t="shared" ref="BE223:BE230" si="277">SUM(BD223/12*2*$E223*$G223*$I223*$L223*BE$9)+(BD223/12*10*$F223*$G223*$I223*$L223*BE$9)</f>
        <v>49315.060666666657</v>
      </c>
      <c r="BF223" s="37">
        <v>0</v>
      </c>
      <c r="BG223" s="39">
        <f t="shared" ref="BG223:BG230" si="278">(BF223/12*2*$E223*$G223*$I223*$M223*BG$9)+(BF223/12*10*$F223*$G223*$I223*$M223*BG$9)</f>
        <v>0</v>
      </c>
      <c r="BH223" s="60">
        <v>0</v>
      </c>
      <c r="BI223" s="36">
        <f t="shared" ref="BI223:BI230" si="279">(BH223/12*2*$E223*$G223*$I223*$M223*BI$9)+(BH223/12*10*$F223*$G223*$I223*$M223*BI$9)</f>
        <v>0</v>
      </c>
      <c r="BJ223" s="37">
        <v>0</v>
      </c>
      <c r="BK223" s="36">
        <f t="shared" ref="BK223:BK230" si="280">(BJ223/12*2*$E223*$G223*$I223*$M223*BK$9)+(BJ223/12*10*$F223*$G223*$I223*$M223*BK$9)</f>
        <v>0</v>
      </c>
      <c r="BL223" s="37">
        <v>0</v>
      </c>
      <c r="BM223" s="36">
        <f t="shared" ref="BM223:BM230" si="281">(BL223/12*2*$E223*$G223*$I223*$M223*BM$9)+(BL223/12*10*$F223*$G223*$I223*$M223*BM$9)</f>
        <v>0</v>
      </c>
      <c r="BN223" s="37">
        <v>0</v>
      </c>
      <c r="BO223" s="36">
        <f t="shared" ref="BO223:BO230" si="282">(BN223/12*10*$F223*$G223*$I223*$M223*BO$9)</f>
        <v>0</v>
      </c>
      <c r="BP223" s="39"/>
      <c r="BQ223" s="36"/>
      <c r="BR223" s="37">
        <v>0</v>
      </c>
      <c r="BS223" s="36">
        <f t="shared" ref="BS223:BS230" si="283">(BR223/12*10*$F223*$G223*$I223*$M223*BS$9)</f>
        <v>0</v>
      </c>
      <c r="BT223" s="37">
        <v>0</v>
      </c>
      <c r="BU223" s="36">
        <f t="shared" ref="BU223:BU230" si="284">(BT223/12*2*$E223*$G223*$I223*$M223*BU$9)+(BT223/12*10*$F223*$G223*$I223*$M223*BU$9)</f>
        <v>0</v>
      </c>
      <c r="BV223" s="36">
        <v>0</v>
      </c>
      <c r="BW223" s="36">
        <f t="shared" ref="BW223:BW230" si="285">(BV223/12*2*$E223*$G223*$I223*$M223*BW$9)+(BV223/12*10*$F223*$G223*$I223*$M223*BW$9)</f>
        <v>0</v>
      </c>
      <c r="BX223" s="37">
        <v>0</v>
      </c>
      <c r="BY223" s="36">
        <f t="shared" ref="BY223:BY230" si="286">(BX223/12*2*$E223*$G223*$I223*$M223*BY$9)+(BX223/12*10*$F223*$G223*$I223*$M223*BY$9)</f>
        <v>0</v>
      </c>
      <c r="BZ223" s="37"/>
      <c r="CA223" s="36">
        <f t="shared" ref="CA223:CA230" si="287">(BZ223/12*2*$E223*$G223*$I223*$M223*CA$9)+(BZ223/12*10*$F223*$G223*$I223*$M223*CA$9)</f>
        <v>0</v>
      </c>
      <c r="CB223" s="37"/>
      <c r="CC223" s="36">
        <f t="shared" ref="CC223:CC230" si="288">(CB223/12*2*$E223*$G223*$I223*$M223*CC$9)+(CB223/12*10*$F223*$G223*$I223*$M223*CC$9)</f>
        <v>0</v>
      </c>
      <c r="CD223" s="37">
        <v>0</v>
      </c>
      <c r="CE223" s="36">
        <f t="shared" ref="CE223:CE230" si="289">(CD223/12*2*$E223*$G223*$I223*$M223*CE$9)+(CD223/12*10*$F223*$G223*$I223*$M223*CE$9)</f>
        <v>0</v>
      </c>
      <c r="CF223" s="37">
        <v>0</v>
      </c>
      <c r="CG223" s="36">
        <f t="shared" ref="CG223:CG230" si="290">(CF223/12*2*$E223*$G223*$I223*$N223*CG$9)+(CF223/12*10*$F223*$G223*$I223*$N223*CG$9)</f>
        <v>0</v>
      </c>
      <c r="CH223" s="37">
        <v>0</v>
      </c>
      <c r="CI223" s="36">
        <f t="shared" ref="CI223:CI230" si="291">(CH223/12*2*$E223*$G223*$I223*$O223*$CI$9)+(CH223/12*10*$F223*$G223*$I223*$O223*$CI$9)</f>
        <v>0</v>
      </c>
      <c r="CJ223" s="36"/>
      <c r="CK223" s="41">
        <f>(CJ223/12*3*$E223*$G223*$I223*$M223)+(CJ223/12*9*$F223*$G223*$I223*$M223)</f>
        <v>0</v>
      </c>
      <c r="CL223" s="41"/>
      <c r="CM223" s="41"/>
      <c r="CN223" s="41"/>
      <c r="CO223" s="41"/>
      <c r="CP223" s="42">
        <f t="shared" ref="CP223:CQ230" si="292">SUM(R223+P223+T223+V223+AB223+Z223+X223+AF223+AD223+AH223+AJ223+BF223+BJ223+AL223+AT223+AV223+BT223+BV223+BR223+BX223+BZ223+BN223+AN223+AP223+AR223+BH223+BL223+AX223+AZ223+BB223+BD223+BP223+CB223+CD223+CF223+CH223+CJ223+CL223)</f>
        <v>1</v>
      </c>
      <c r="CQ223" s="42">
        <f t="shared" si="292"/>
        <v>49315.060666666657</v>
      </c>
    </row>
    <row r="224" spans="1:95" s="3" customFormat="1" ht="30" hidden="1" customHeight="1" x14ac:dyDescent="0.25">
      <c r="A224" s="54"/>
      <c r="B224" s="54">
        <v>147</v>
      </c>
      <c r="C224" s="55" t="s">
        <v>561</v>
      </c>
      <c r="D224" s="121" t="s">
        <v>562</v>
      </c>
      <c r="E224" s="110">
        <v>16026</v>
      </c>
      <c r="F224" s="110">
        <v>16828</v>
      </c>
      <c r="G224" s="33">
        <v>3.55</v>
      </c>
      <c r="H224" s="34"/>
      <c r="I224" s="35">
        <v>1</v>
      </c>
      <c r="J224" s="111"/>
      <c r="K224" s="35"/>
      <c r="L224" s="97">
        <v>1.4</v>
      </c>
      <c r="M224" s="97">
        <v>1.68</v>
      </c>
      <c r="N224" s="97">
        <v>2.23</v>
      </c>
      <c r="O224" s="97">
        <v>2.57</v>
      </c>
      <c r="P224" s="36">
        <v>1</v>
      </c>
      <c r="Q224" s="36">
        <f>SUM(P224*$F224*$G224*$I224*$L224*$Q$9)</f>
        <v>83635.159999999989</v>
      </c>
      <c r="R224" s="37">
        <v>0</v>
      </c>
      <c r="S224" s="36">
        <f t="shared" si="261"/>
        <v>0</v>
      </c>
      <c r="T224" s="36">
        <v>0</v>
      </c>
      <c r="U224" s="36">
        <f t="shared" si="262"/>
        <v>0</v>
      </c>
      <c r="V224" s="37">
        <v>0</v>
      </c>
      <c r="W224" s="36">
        <f t="shared" si="263"/>
        <v>0</v>
      </c>
      <c r="X224" s="37">
        <v>0</v>
      </c>
      <c r="Y224" s="38">
        <f t="shared" si="264"/>
        <v>0</v>
      </c>
      <c r="Z224" s="37"/>
      <c r="AA224" s="36"/>
      <c r="AB224" s="37"/>
      <c r="AC224" s="36">
        <f t="shared" si="265"/>
        <v>0</v>
      </c>
      <c r="AD224" s="37">
        <v>0</v>
      </c>
      <c r="AE224" s="36">
        <f t="shared" si="266"/>
        <v>0</v>
      </c>
      <c r="AF224" s="37">
        <v>0</v>
      </c>
      <c r="AG224" s="36">
        <f t="shared" si="267"/>
        <v>0</v>
      </c>
      <c r="AH224" s="37">
        <v>0</v>
      </c>
      <c r="AI224" s="36">
        <f t="shared" si="268"/>
        <v>0</v>
      </c>
      <c r="AJ224" s="36">
        <v>0</v>
      </c>
      <c r="AK224" s="36">
        <v>0</v>
      </c>
      <c r="AL224" s="37"/>
      <c r="AM224" s="36">
        <f t="shared" si="269"/>
        <v>0</v>
      </c>
      <c r="AN224" s="37">
        <v>0</v>
      </c>
      <c r="AO224" s="36">
        <f t="shared" si="270"/>
        <v>0</v>
      </c>
      <c r="AP224" s="37"/>
      <c r="AQ224" s="36"/>
      <c r="AR224" s="37"/>
      <c r="AS224" s="36">
        <f t="shared" si="271"/>
        <v>0</v>
      </c>
      <c r="AT224" s="37">
        <v>0</v>
      </c>
      <c r="AU224" s="36">
        <f t="shared" si="272"/>
        <v>0</v>
      </c>
      <c r="AV224" s="37">
        <v>0</v>
      </c>
      <c r="AW224" s="36">
        <f t="shared" si="273"/>
        <v>0</v>
      </c>
      <c r="AX224" s="37">
        <v>0</v>
      </c>
      <c r="AY224" s="36">
        <f t="shared" si="274"/>
        <v>0</v>
      </c>
      <c r="AZ224" s="37">
        <v>0</v>
      </c>
      <c r="BA224" s="36">
        <f t="shared" si="275"/>
        <v>0</v>
      </c>
      <c r="BB224" s="37">
        <v>0</v>
      </c>
      <c r="BC224" s="36">
        <f t="shared" si="276"/>
        <v>0</v>
      </c>
      <c r="BD224" s="36"/>
      <c r="BE224" s="36">
        <f t="shared" si="277"/>
        <v>0</v>
      </c>
      <c r="BF224" s="37">
        <v>0</v>
      </c>
      <c r="BG224" s="39">
        <f t="shared" si="278"/>
        <v>0</v>
      </c>
      <c r="BH224" s="60"/>
      <c r="BI224" s="36">
        <f t="shared" si="279"/>
        <v>0</v>
      </c>
      <c r="BJ224" s="37"/>
      <c r="BK224" s="36">
        <f t="shared" si="280"/>
        <v>0</v>
      </c>
      <c r="BL224" s="37">
        <v>0</v>
      </c>
      <c r="BM224" s="36">
        <f t="shared" si="281"/>
        <v>0</v>
      </c>
      <c r="BN224" s="37">
        <v>0</v>
      </c>
      <c r="BO224" s="36">
        <f t="shared" si="282"/>
        <v>0</v>
      </c>
      <c r="BP224" s="39"/>
      <c r="BQ224" s="36"/>
      <c r="BR224" s="37">
        <v>0</v>
      </c>
      <c r="BS224" s="36">
        <f t="shared" si="283"/>
        <v>0</v>
      </c>
      <c r="BT224" s="37">
        <v>0</v>
      </c>
      <c r="BU224" s="36">
        <f t="shared" si="284"/>
        <v>0</v>
      </c>
      <c r="BV224" s="36">
        <v>0</v>
      </c>
      <c r="BW224" s="36">
        <f t="shared" si="285"/>
        <v>0</v>
      </c>
      <c r="BX224" s="37">
        <v>0</v>
      </c>
      <c r="BY224" s="36">
        <f t="shared" si="286"/>
        <v>0</v>
      </c>
      <c r="BZ224" s="37"/>
      <c r="CA224" s="36">
        <f t="shared" si="287"/>
        <v>0</v>
      </c>
      <c r="CB224" s="37"/>
      <c r="CC224" s="36">
        <f t="shared" si="288"/>
        <v>0</v>
      </c>
      <c r="CD224" s="37">
        <v>0</v>
      </c>
      <c r="CE224" s="36">
        <f t="shared" si="289"/>
        <v>0</v>
      </c>
      <c r="CF224" s="37">
        <v>0</v>
      </c>
      <c r="CG224" s="36">
        <f t="shared" si="290"/>
        <v>0</v>
      </c>
      <c r="CH224" s="37">
        <v>0</v>
      </c>
      <c r="CI224" s="36">
        <f t="shared" si="291"/>
        <v>0</v>
      </c>
      <c r="CJ224" s="36">
        <v>50</v>
      </c>
      <c r="CK224" s="41">
        <f>(CJ224/12*2*$E224*$G224*$I224*$M224)+(CJ224/12*10*$F224*$G224*$I224*$M224)</f>
        <v>4978250.2</v>
      </c>
      <c r="CL224" s="41"/>
      <c r="CM224" s="41"/>
      <c r="CN224" s="41"/>
      <c r="CO224" s="41"/>
      <c r="CP224" s="42">
        <f t="shared" si="292"/>
        <v>51</v>
      </c>
      <c r="CQ224" s="42">
        <f t="shared" si="292"/>
        <v>5061885.3600000003</v>
      </c>
    </row>
    <row r="225" spans="1:95" s="3" customFormat="1" ht="30" hidden="1" customHeight="1" x14ac:dyDescent="0.25">
      <c r="A225" s="54"/>
      <c r="B225" s="54">
        <v>148</v>
      </c>
      <c r="C225" s="55" t="s">
        <v>563</v>
      </c>
      <c r="D225" s="120" t="s">
        <v>564</v>
      </c>
      <c r="E225" s="110">
        <v>16026</v>
      </c>
      <c r="F225" s="110">
        <v>16828</v>
      </c>
      <c r="G225" s="33">
        <v>1.57</v>
      </c>
      <c r="H225" s="34"/>
      <c r="I225" s="35">
        <v>1</v>
      </c>
      <c r="J225" s="111"/>
      <c r="K225" s="35"/>
      <c r="L225" s="97">
        <v>1.4</v>
      </c>
      <c r="M225" s="97">
        <v>1.68</v>
      </c>
      <c r="N225" s="97">
        <v>2.23</v>
      </c>
      <c r="O225" s="97">
        <v>2.57</v>
      </c>
      <c r="P225" s="36">
        <v>0</v>
      </c>
      <c r="Q225" s="36">
        <f t="shared" ref="Q225:Q230" si="293">SUM(P225/12*2*$E225*$G225*$I225*$L225*$Q$9)+(P225/12*10*$F225*$G225*$I225*$L225*$Q$9)</f>
        <v>0</v>
      </c>
      <c r="R225" s="37">
        <v>0</v>
      </c>
      <c r="S225" s="36">
        <f t="shared" si="261"/>
        <v>0</v>
      </c>
      <c r="T225" s="36">
        <v>0</v>
      </c>
      <c r="U225" s="36">
        <f t="shared" si="262"/>
        <v>0</v>
      </c>
      <c r="V225" s="37">
        <v>0</v>
      </c>
      <c r="W225" s="36">
        <f t="shared" si="263"/>
        <v>0</v>
      </c>
      <c r="X225" s="37">
        <v>0</v>
      </c>
      <c r="Y225" s="38">
        <f t="shared" si="264"/>
        <v>0</v>
      </c>
      <c r="Z225" s="37"/>
      <c r="AA225" s="36"/>
      <c r="AB225" s="37"/>
      <c r="AC225" s="36">
        <f t="shared" si="265"/>
        <v>0</v>
      </c>
      <c r="AD225" s="37">
        <v>0</v>
      </c>
      <c r="AE225" s="36">
        <f t="shared" si="266"/>
        <v>0</v>
      </c>
      <c r="AF225" s="37">
        <v>0</v>
      </c>
      <c r="AG225" s="36">
        <f t="shared" si="267"/>
        <v>0</v>
      </c>
      <c r="AH225" s="37">
        <v>0</v>
      </c>
      <c r="AI225" s="36">
        <f t="shared" si="268"/>
        <v>0</v>
      </c>
      <c r="AJ225" s="36">
        <v>0</v>
      </c>
      <c r="AK225" s="36">
        <v>0</v>
      </c>
      <c r="AL225" s="37"/>
      <c r="AM225" s="36">
        <f t="shared" si="269"/>
        <v>0</v>
      </c>
      <c r="AN225" s="37">
        <v>0</v>
      </c>
      <c r="AO225" s="36">
        <f t="shared" si="270"/>
        <v>0</v>
      </c>
      <c r="AP225" s="37"/>
      <c r="AQ225" s="36"/>
      <c r="AR225" s="37"/>
      <c r="AS225" s="36">
        <f t="shared" si="271"/>
        <v>0</v>
      </c>
      <c r="AT225" s="37">
        <v>0</v>
      </c>
      <c r="AU225" s="36">
        <f t="shared" si="272"/>
        <v>0</v>
      </c>
      <c r="AV225" s="37">
        <v>0</v>
      </c>
      <c r="AW225" s="36">
        <f t="shared" si="273"/>
        <v>0</v>
      </c>
      <c r="AX225" s="37"/>
      <c r="AY225" s="36">
        <f t="shared" si="274"/>
        <v>0</v>
      </c>
      <c r="AZ225" s="37">
        <v>0</v>
      </c>
      <c r="BA225" s="36">
        <f t="shared" si="275"/>
        <v>0</v>
      </c>
      <c r="BB225" s="37">
        <v>0</v>
      </c>
      <c r="BC225" s="36">
        <f t="shared" si="276"/>
        <v>0</v>
      </c>
      <c r="BD225" s="37"/>
      <c r="BE225" s="36">
        <f t="shared" si="277"/>
        <v>0</v>
      </c>
      <c r="BF225" s="37">
        <v>0</v>
      </c>
      <c r="BG225" s="39">
        <f t="shared" si="278"/>
        <v>0</v>
      </c>
      <c r="BH225" s="60">
        <v>0</v>
      </c>
      <c r="BI225" s="36">
        <f t="shared" si="279"/>
        <v>0</v>
      </c>
      <c r="BJ225" s="37">
        <v>0</v>
      </c>
      <c r="BK225" s="36">
        <f t="shared" si="280"/>
        <v>0</v>
      </c>
      <c r="BL225" s="37">
        <v>0</v>
      </c>
      <c r="BM225" s="36">
        <f t="shared" si="281"/>
        <v>0</v>
      </c>
      <c r="BN225" s="37">
        <v>0</v>
      </c>
      <c r="BO225" s="36">
        <f t="shared" si="282"/>
        <v>0</v>
      </c>
      <c r="BP225" s="39"/>
      <c r="BQ225" s="36"/>
      <c r="BR225" s="37">
        <v>0</v>
      </c>
      <c r="BS225" s="36">
        <f t="shared" si="283"/>
        <v>0</v>
      </c>
      <c r="BT225" s="37">
        <v>0</v>
      </c>
      <c r="BU225" s="36">
        <f t="shared" si="284"/>
        <v>0</v>
      </c>
      <c r="BV225" s="36"/>
      <c r="BW225" s="36">
        <f t="shared" si="285"/>
        <v>0</v>
      </c>
      <c r="BX225" s="37">
        <v>0</v>
      </c>
      <c r="BY225" s="36">
        <f t="shared" si="286"/>
        <v>0</v>
      </c>
      <c r="BZ225" s="37"/>
      <c r="CA225" s="36">
        <f t="shared" si="287"/>
        <v>0</v>
      </c>
      <c r="CB225" s="37"/>
      <c r="CC225" s="36">
        <f t="shared" si="288"/>
        <v>0</v>
      </c>
      <c r="CD225" s="37">
        <v>0</v>
      </c>
      <c r="CE225" s="36">
        <f t="shared" si="289"/>
        <v>0</v>
      </c>
      <c r="CF225" s="37">
        <v>0</v>
      </c>
      <c r="CG225" s="36">
        <f t="shared" si="290"/>
        <v>0</v>
      </c>
      <c r="CH225" s="37">
        <v>0</v>
      </c>
      <c r="CI225" s="36">
        <f t="shared" si="291"/>
        <v>0</v>
      </c>
      <c r="CJ225" s="36"/>
      <c r="CK225" s="41">
        <f t="shared" ref="CK225:CK230" si="294">(CJ225/12*2*$E225*$G225*$I225*$M225)+(CJ225/12*10*$F225*$G225*$I225*$M225)</f>
        <v>0</v>
      </c>
      <c r="CL225" s="41"/>
      <c r="CM225" s="41"/>
      <c r="CN225" s="41"/>
      <c r="CO225" s="41"/>
      <c r="CP225" s="42">
        <f t="shared" si="292"/>
        <v>0</v>
      </c>
      <c r="CQ225" s="42">
        <f t="shared" si="292"/>
        <v>0</v>
      </c>
    </row>
    <row r="226" spans="1:95" s="3" customFormat="1" ht="30" hidden="1" customHeight="1" x14ac:dyDescent="0.25">
      <c r="A226" s="54"/>
      <c r="B226" s="54">
        <v>149</v>
      </c>
      <c r="C226" s="55" t="s">
        <v>565</v>
      </c>
      <c r="D226" s="120" t="s">
        <v>566</v>
      </c>
      <c r="E226" s="110">
        <v>16026</v>
      </c>
      <c r="F226" s="110">
        <v>16828</v>
      </c>
      <c r="G226" s="33">
        <v>2.2599999999999998</v>
      </c>
      <c r="H226" s="34"/>
      <c r="I226" s="35">
        <v>1</v>
      </c>
      <c r="J226" s="111"/>
      <c r="K226" s="35"/>
      <c r="L226" s="97">
        <v>1.4</v>
      </c>
      <c r="M226" s="97">
        <v>1.68</v>
      </c>
      <c r="N226" s="97">
        <v>2.23</v>
      </c>
      <c r="O226" s="97">
        <v>2.57</v>
      </c>
      <c r="P226" s="36">
        <v>0</v>
      </c>
      <c r="Q226" s="36">
        <f t="shared" si="293"/>
        <v>0</v>
      </c>
      <c r="R226" s="37">
        <v>0</v>
      </c>
      <c r="S226" s="36">
        <f t="shared" si="261"/>
        <v>0</v>
      </c>
      <c r="T226" s="36">
        <v>0</v>
      </c>
      <c r="U226" s="36">
        <f t="shared" si="262"/>
        <v>0</v>
      </c>
      <c r="V226" s="37">
        <v>0</v>
      </c>
      <c r="W226" s="36">
        <f t="shared" si="263"/>
        <v>0</v>
      </c>
      <c r="X226" s="37">
        <v>0</v>
      </c>
      <c r="Y226" s="38">
        <f t="shared" si="264"/>
        <v>0</v>
      </c>
      <c r="Z226" s="37"/>
      <c r="AA226" s="36"/>
      <c r="AB226" s="37"/>
      <c r="AC226" s="36">
        <f t="shared" si="265"/>
        <v>0</v>
      </c>
      <c r="AD226" s="37">
        <v>0</v>
      </c>
      <c r="AE226" s="36">
        <f t="shared" si="266"/>
        <v>0</v>
      </c>
      <c r="AF226" s="37">
        <v>0</v>
      </c>
      <c r="AG226" s="36">
        <f t="shared" si="267"/>
        <v>0</v>
      </c>
      <c r="AH226" s="37">
        <v>0</v>
      </c>
      <c r="AI226" s="36">
        <f t="shared" si="268"/>
        <v>0</v>
      </c>
      <c r="AJ226" s="36">
        <v>0</v>
      </c>
      <c r="AK226" s="36">
        <v>0</v>
      </c>
      <c r="AL226" s="37"/>
      <c r="AM226" s="36">
        <f t="shared" si="269"/>
        <v>0</v>
      </c>
      <c r="AN226" s="37">
        <v>0</v>
      </c>
      <c r="AO226" s="36">
        <f t="shared" si="270"/>
        <v>0</v>
      </c>
      <c r="AP226" s="37"/>
      <c r="AQ226" s="36"/>
      <c r="AR226" s="37"/>
      <c r="AS226" s="36">
        <f t="shared" si="271"/>
        <v>0</v>
      </c>
      <c r="AT226" s="37">
        <v>0</v>
      </c>
      <c r="AU226" s="36">
        <f t="shared" si="272"/>
        <v>0</v>
      </c>
      <c r="AV226" s="37">
        <v>0</v>
      </c>
      <c r="AW226" s="36">
        <f t="shared" si="273"/>
        <v>0</v>
      </c>
      <c r="AX226" s="37">
        <v>0</v>
      </c>
      <c r="AY226" s="36">
        <f t="shared" si="274"/>
        <v>0</v>
      </c>
      <c r="AZ226" s="37">
        <v>0</v>
      </c>
      <c r="BA226" s="36">
        <f t="shared" si="275"/>
        <v>0</v>
      </c>
      <c r="BB226" s="37">
        <v>0</v>
      </c>
      <c r="BC226" s="36">
        <f t="shared" si="276"/>
        <v>0</v>
      </c>
      <c r="BD226" s="37"/>
      <c r="BE226" s="36">
        <f t="shared" si="277"/>
        <v>0</v>
      </c>
      <c r="BF226" s="37">
        <v>0</v>
      </c>
      <c r="BG226" s="39">
        <f t="shared" si="278"/>
        <v>0</v>
      </c>
      <c r="BH226" s="60">
        <v>0</v>
      </c>
      <c r="BI226" s="36">
        <f t="shared" si="279"/>
        <v>0</v>
      </c>
      <c r="BJ226" s="37">
        <v>0</v>
      </c>
      <c r="BK226" s="36">
        <f t="shared" si="280"/>
        <v>0</v>
      </c>
      <c r="BL226" s="37">
        <v>0</v>
      </c>
      <c r="BM226" s="36">
        <f t="shared" si="281"/>
        <v>0</v>
      </c>
      <c r="BN226" s="37">
        <v>0</v>
      </c>
      <c r="BO226" s="36">
        <f t="shared" si="282"/>
        <v>0</v>
      </c>
      <c r="BP226" s="39"/>
      <c r="BQ226" s="36"/>
      <c r="BR226" s="37">
        <v>0</v>
      </c>
      <c r="BS226" s="36">
        <f t="shared" si="283"/>
        <v>0</v>
      </c>
      <c r="BT226" s="37">
        <v>0</v>
      </c>
      <c r="BU226" s="36">
        <f t="shared" si="284"/>
        <v>0</v>
      </c>
      <c r="BV226" s="36">
        <v>0</v>
      </c>
      <c r="BW226" s="36">
        <f t="shared" si="285"/>
        <v>0</v>
      </c>
      <c r="BX226" s="37">
        <v>0</v>
      </c>
      <c r="BY226" s="36">
        <f t="shared" si="286"/>
        <v>0</v>
      </c>
      <c r="BZ226" s="37"/>
      <c r="CA226" s="36">
        <f t="shared" si="287"/>
        <v>0</v>
      </c>
      <c r="CB226" s="37"/>
      <c r="CC226" s="36">
        <f t="shared" si="288"/>
        <v>0</v>
      </c>
      <c r="CD226" s="37">
        <v>0</v>
      </c>
      <c r="CE226" s="36">
        <f t="shared" si="289"/>
        <v>0</v>
      </c>
      <c r="CF226" s="37">
        <v>0</v>
      </c>
      <c r="CG226" s="36">
        <f t="shared" si="290"/>
        <v>0</v>
      </c>
      <c r="CH226" s="37">
        <v>0</v>
      </c>
      <c r="CI226" s="36">
        <f t="shared" si="291"/>
        <v>0</v>
      </c>
      <c r="CJ226" s="36"/>
      <c r="CK226" s="41">
        <f t="shared" si="294"/>
        <v>0</v>
      </c>
      <c r="CL226" s="41"/>
      <c r="CM226" s="41"/>
      <c r="CN226" s="41"/>
      <c r="CO226" s="41"/>
      <c r="CP226" s="42">
        <f t="shared" si="292"/>
        <v>0</v>
      </c>
      <c r="CQ226" s="42">
        <f t="shared" si="292"/>
        <v>0</v>
      </c>
    </row>
    <row r="227" spans="1:95" s="3" customFormat="1" ht="30" hidden="1" customHeight="1" x14ac:dyDescent="0.25">
      <c r="A227" s="54"/>
      <c r="B227" s="54">
        <v>150</v>
      </c>
      <c r="C227" s="55" t="s">
        <v>567</v>
      </c>
      <c r="D227" s="120" t="s">
        <v>568</v>
      </c>
      <c r="E227" s="110">
        <v>16026</v>
      </c>
      <c r="F227" s="110">
        <v>16828</v>
      </c>
      <c r="G227" s="33">
        <v>3.24</v>
      </c>
      <c r="H227" s="34"/>
      <c r="I227" s="35">
        <v>1</v>
      </c>
      <c r="J227" s="111"/>
      <c r="K227" s="35"/>
      <c r="L227" s="97">
        <v>1.4</v>
      </c>
      <c r="M227" s="97">
        <v>1.68</v>
      </c>
      <c r="N227" s="97">
        <v>2.23</v>
      </c>
      <c r="O227" s="97">
        <v>2.57</v>
      </c>
      <c r="P227" s="36"/>
      <c r="Q227" s="36">
        <f t="shared" si="293"/>
        <v>0</v>
      </c>
      <c r="R227" s="37"/>
      <c r="S227" s="36">
        <f t="shared" si="261"/>
        <v>0</v>
      </c>
      <c r="T227" s="36"/>
      <c r="U227" s="36">
        <f t="shared" si="262"/>
        <v>0</v>
      </c>
      <c r="V227" s="37"/>
      <c r="W227" s="36">
        <f t="shared" si="263"/>
        <v>0</v>
      </c>
      <c r="X227" s="37"/>
      <c r="Y227" s="38">
        <f t="shared" si="264"/>
        <v>0</v>
      </c>
      <c r="Z227" s="37"/>
      <c r="AA227" s="36"/>
      <c r="AB227" s="37"/>
      <c r="AC227" s="36">
        <f t="shared" si="265"/>
        <v>0</v>
      </c>
      <c r="AD227" s="37">
        <v>0</v>
      </c>
      <c r="AE227" s="36">
        <f t="shared" si="266"/>
        <v>0</v>
      </c>
      <c r="AF227" s="37">
        <v>0</v>
      </c>
      <c r="AG227" s="36">
        <f t="shared" si="267"/>
        <v>0</v>
      </c>
      <c r="AH227" s="37"/>
      <c r="AI227" s="36">
        <f t="shared" si="268"/>
        <v>0</v>
      </c>
      <c r="AJ227" s="36">
        <v>0</v>
      </c>
      <c r="AK227" s="36">
        <v>0</v>
      </c>
      <c r="AL227" s="37"/>
      <c r="AM227" s="36">
        <f t="shared" si="269"/>
        <v>0</v>
      </c>
      <c r="AN227" s="37"/>
      <c r="AO227" s="36">
        <f t="shared" si="270"/>
        <v>0</v>
      </c>
      <c r="AP227" s="37"/>
      <c r="AQ227" s="36"/>
      <c r="AR227" s="37"/>
      <c r="AS227" s="36">
        <f t="shared" si="271"/>
        <v>0</v>
      </c>
      <c r="AT227" s="37"/>
      <c r="AU227" s="36">
        <f t="shared" si="272"/>
        <v>0</v>
      </c>
      <c r="AV227" s="37"/>
      <c r="AW227" s="36">
        <f t="shared" si="273"/>
        <v>0</v>
      </c>
      <c r="AX227" s="37"/>
      <c r="AY227" s="36">
        <f t="shared" si="274"/>
        <v>0</v>
      </c>
      <c r="AZ227" s="37"/>
      <c r="BA227" s="36">
        <f t="shared" si="275"/>
        <v>0</v>
      </c>
      <c r="BB227" s="37"/>
      <c r="BC227" s="36">
        <f t="shared" si="276"/>
        <v>0</v>
      </c>
      <c r="BD227" s="37"/>
      <c r="BE227" s="36">
        <f t="shared" si="277"/>
        <v>0</v>
      </c>
      <c r="BF227" s="37"/>
      <c r="BG227" s="39">
        <f t="shared" si="278"/>
        <v>0</v>
      </c>
      <c r="BH227" s="60"/>
      <c r="BI227" s="36">
        <f t="shared" si="279"/>
        <v>0</v>
      </c>
      <c r="BJ227" s="37"/>
      <c r="BK227" s="36">
        <f t="shared" si="280"/>
        <v>0</v>
      </c>
      <c r="BL227" s="37"/>
      <c r="BM227" s="36">
        <f t="shared" si="281"/>
        <v>0</v>
      </c>
      <c r="BN227" s="37"/>
      <c r="BO227" s="36">
        <f t="shared" si="282"/>
        <v>0</v>
      </c>
      <c r="BP227" s="39"/>
      <c r="BQ227" s="36"/>
      <c r="BR227" s="37"/>
      <c r="BS227" s="36">
        <f t="shared" si="283"/>
        <v>0</v>
      </c>
      <c r="BT227" s="37"/>
      <c r="BU227" s="36">
        <f t="shared" si="284"/>
        <v>0</v>
      </c>
      <c r="BV227" s="36"/>
      <c r="BW227" s="36">
        <f t="shared" si="285"/>
        <v>0</v>
      </c>
      <c r="BX227" s="37"/>
      <c r="BY227" s="36">
        <f t="shared" si="286"/>
        <v>0</v>
      </c>
      <c r="BZ227" s="37"/>
      <c r="CA227" s="36">
        <f t="shared" si="287"/>
        <v>0</v>
      </c>
      <c r="CB227" s="37"/>
      <c r="CC227" s="36">
        <f t="shared" si="288"/>
        <v>0</v>
      </c>
      <c r="CD227" s="37"/>
      <c r="CE227" s="36">
        <f t="shared" si="289"/>
        <v>0</v>
      </c>
      <c r="CF227" s="37"/>
      <c r="CG227" s="36">
        <f t="shared" si="290"/>
        <v>0</v>
      </c>
      <c r="CH227" s="37"/>
      <c r="CI227" s="36">
        <f t="shared" si="291"/>
        <v>0</v>
      </c>
      <c r="CJ227" s="36"/>
      <c r="CK227" s="41">
        <f t="shared" si="294"/>
        <v>0</v>
      </c>
      <c r="CL227" s="41"/>
      <c r="CM227" s="41"/>
      <c r="CN227" s="41"/>
      <c r="CO227" s="41"/>
      <c r="CP227" s="42">
        <f t="shared" si="292"/>
        <v>0</v>
      </c>
      <c r="CQ227" s="42">
        <f t="shared" si="292"/>
        <v>0</v>
      </c>
    </row>
    <row r="228" spans="1:95" s="3" customFormat="1" ht="30" hidden="1" customHeight="1" x14ac:dyDescent="0.25">
      <c r="A228" s="54"/>
      <c r="B228" s="54">
        <v>151</v>
      </c>
      <c r="C228" s="55" t="s">
        <v>569</v>
      </c>
      <c r="D228" s="120" t="s">
        <v>570</v>
      </c>
      <c r="E228" s="110">
        <v>16026</v>
      </c>
      <c r="F228" s="110">
        <v>16828</v>
      </c>
      <c r="G228" s="33">
        <v>1.7</v>
      </c>
      <c r="H228" s="34"/>
      <c r="I228" s="35">
        <v>1</v>
      </c>
      <c r="J228" s="111"/>
      <c r="K228" s="35"/>
      <c r="L228" s="97">
        <v>1.4</v>
      </c>
      <c r="M228" s="97">
        <v>1.68</v>
      </c>
      <c r="N228" s="97">
        <v>2.23</v>
      </c>
      <c r="O228" s="97">
        <v>2.57</v>
      </c>
      <c r="P228" s="36"/>
      <c r="Q228" s="36">
        <f t="shared" si="293"/>
        <v>0</v>
      </c>
      <c r="R228" s="37"/>
      <c r="S228" s="36">
        <f t="shared" si="261"/>
        <v>0</v>
      </c>
      <c r="T228" s="36"/>
      <c r="U228" s="36">
        <f t="shared" si="262"/>
        <v>0</v>
      </c>
      <c r="V228" s="37"/>
      <c r="W228" s="36">
        <f t="shared" si="263"/>
        <v>0</v>
      </c>
      <c r="X228" s="37"/>
      <c r="Y228" s="38">
        <f t="shared" si="264"/>
        <v>0</v>
      </c>
      <c r="Z228" s="37"/>
      <c r="AA228" s="36"/>
      <c r="AB228" s="37"/>
      <c r="AC228" s="36">
        <f t="shared" si="265"/>
        <v>0</v>
      </c>
      <c r="AD228" s="37">
        <v>0</v>
      </c>
      <c r="AE228" s="36">
        <f t="shared" si="266"/>
        <v>0</v>
      </c>
      <c r="AF228" s="37">
        <v>0</v>
      </c>
      <c r="AG228" s="36">
        <f t="shared" si="267"/>
        <v>0</v>
      </c>
      <c r="AH228" s="37"/>
      <c r="AI228" s="36">
        <f t="shared" si="268"/>
        <v>0</v>
      </c>
      <c r="AJ228" s="36">
        <v>0</v>
      </c>
      <c r="AK228" s="36">
        <v>0</v>
      </c>
      <c r="AL228" s="37"/>
      <c r="AM228" s="36">
        <f t="shared" si="269"/>
        <v>0</v>
      </c>
      <c r="AN228" s="37"/>
      <c r="AO228" s="36">
        <f t="shared" si="270"/>
        <v>0</v>
      </c>
      <c r="AP228" s="37"/>
      <c r="AQ228" s="36"/>
      <c r="AR228" s="37"/>
      <c r="AS228" s="36">
        <f t="shared" si="271"/>
        <v>0</v>
      </c>
      <c r="AT228" s="37"/>
      <c r="AU228" s="36">
        <f t="shared" si="272"/>
        <v>0</v>
      </c>
      <c r="AV228" s="37"/>
      <c r="AW228" s="36">
        <f t="shared" si="273"/>
        <v>0</v>
      </c>
      <c r="AX228" s="37"/>
      <c r="AY228" s="36">
        <f t="shared" si="274"/>
        <v>0</v>
      </c>
      <c r="AZ228" s="37"/>
      <c r="BA228" s="36">
        <f t="shared" si="275"/>
        <v>0</v>
      </c>
      <c r="BB228" s="37"/>
      <c r="BC228" s="36">
        <f t="shared" si="276"/>
        <v>0</v>
      </c>
      <c r="BD228" s="37"/>
      <c r="BE228" s="36">
        <f t="shared" si="277"/>
        <v>0</v>
      </c>
      <c r="BF228" s="37"/>
      <c r="BG228" s="39">
        <f t="shared" si="278"/>
        <v>0</v>
      </c>
      <c r="BH228" s="60"/>
      <c r="BI228" s="36">
        <f t="shared" si="279"/>
        <v>0</v>
      </c>
      <c r="BJ228" s="37"/>
      <c r="BK228" s="36">
        <f t="shared" si="280"/>
        <v>0</v>
      </c>
      <c r="BL228" s="37"/>
      <c r="BM228" s="36">
        <f t="shared" si="281"/>
        <v>0</v>
      </c>
      <c r="BN228" s="37"/>
      <c r="BO228" s="36">
        <f t="shared" si="282"/>
        <v>0</v>
      </c>
      <c r="BP228" s="39"/>
      <c r="BQ228" s="36"/>
      <c r="BR228" s="37"/>
      <c r="BS228" s="36">
        <f t="shared" si="283"/>
        <v>0</v>
      </c>
      <c r="BT228" s="37"/>
      <c r="BU228" s="36">
        <f t="shared" si="284"/>
        <v>0</v>
      </c>
      <c r="BV228" s="36"/>
      <c r="BW228" s="36">
        <f t="shared" si="285"/>
        <v>0</v>
      </c>
      <c r="BX228" s="37"/>
      <c r="BY228" s="36">
        <f t="shared" si="286"/>
        <v>0</v>
      </c>
      <c r="BZ228" s="37"/>
      <c r="CA228" s="36">
        <f t="shared" si="287"/>
        <v>0</v>
      </c>
      <c r="CB228" s="37"/>
      <c r="CC228" s="36">
        <f t="shared" si="288"/>
        <v>0</v>
      </c>
      <c r="CD228" s="37"/>
      <c r="CE228" s="36">
        <f t="shared" si="289"/>
        <v>0</v>
      </c>
      <c r="CF228" s="37"/>
      <c r="CG228" s="36">
        <f t="shared" si="290"/>
        <v>0</v>
      </c>
      <c r="CH228" s="37"/>
      <c r="CI228" s="36">
        <f t="shared" si="291"/>
        <v>0</v>
      </c>
      <c r="CJ228" s="36"/>
      <c r="CK228" s="41">
        <f t="shared" si="294"/>
        <v>0</v>
      </c>
      <c r="CL228" s="41"/>
      <c r="CM228" s="41"/>
      <c r="CN228" s="41"/>
      <c r="CO228" s="41"/>
      <c r="CP228" s="42">
        <f t="shared" si="292"/>
        <v>0</v>
      </c>
      <c r="CQ228" s="42">
        <f t="shared" si="292"/>
        <v>0</v>
      </c>
    </row>
    <row r="229" spans="1:95" s="3" customFormat="1" ht="30" hidden="1" customHeight="1" x14ac:dyDescent="0.25">
      <c r="A229" s="54"/>
      <c r="B229" s="54">
        <v>152</v>
      </c>
      <c r="C229" s="55" t="s">
        <v>571</v>
      </c>
      <c r="D229" s="121" t="s">
        <v>572</v>
      </c>
      <c r="E229" s="110">
        <v>16026</v>
      </c>
      <c r="F229" s="110">
        <v>16828</v>
      </c>
      <c r="G229" s="33">
        <v>2.06</v>
      </c>
      <c r="H229" s="34"/>
      <c r="I229" s="35">
        <v>1</v>
      </c>
      <c r="J229" s="111"/>
      <c r="K229" s="35"/>
      <c r="L229" s="97">
        <v>1.4</v>
      </c>
      <c r="M229" s="97">
        <v>1.68</v>
      </c>
      <c r="N229" s="97">
        <v>2.23</v>
      </c>
      <c r="O229" s="97">
        <v>2.57</v>
      </c>
      <c r="P229" s="36">
        <v>0</v>
      </c>
      <c r="Q229" s="36">
        <f t="shared" si="293"/>
        <v>0</v>
      </c>
      <c r="R229" s="37">
        <v>0</v>
      </c>
      <c r="S229" s="36">
        <f t="shared" si="261"/>
        <v>0</v>
      </c>
      <c r="T229" s="36">
        <v>0</v>
      </c>
      <c r="U229" s="36">
        <f t="shared" si="262"/>
        <v>0</v>
      </c>
      <c r="V229" s="37">
        <v>0</v>
      </c>
      <c r="W229" s="36">
        <f t="shared" si="263"/>
        <v>0</v>
      </c>
      <c r="X229" s="37">
        <v>0</v>
      </c>
      <c r="Y229" s="38">
        <f t="shared" si="264"/>
        <v>0</v>
      </c>
      <c r="Z229" s="37"/>
      <c r="AA229" s="36"/>
      <c r="AB229" s="37"/>
      <c r="AC229" s="36">
        <f t="shared" si="265"/>
        <v>0</v>
      </c>
      <c r="AD229" s="37">
        <v>0</v>
      </c>
      <c r="AE229" s="36">
        <f t="shared" si="266"/>
        <v>0</v>
      </c>
      <c r="AF229" s="37">
        <v>0</v>
      </c>
      <c r="AG229" s="36">
        <f t="shared" si="267"/>
        <v>0</v>
      </c>
      <c r="AH229" s="37">
        <v>0</v>
      </c>
      <c r="AI229" s="36">
        <f t="shared" si="268"/>
        <v>0</v>
      </c>
      <c r="AJ229" s="36">
        <v>0</v>
      </c>
      <c r="AK229" s="36">
        <v>0</v>
      </c>
      <c r="AL229" s="37"/>
      <c r="AM229" s="36">
        <f t="shared" si="269"/>
        <v>0</v>
      </c>
      <c r="AN229" s="37">
        <v>0</v>
      </c>
      <c r="AO229" s="36">
        <f t="shared" si="270"/>
        <v>0</v>
      </c>
      <c r="AP229" s="37"/>
      <c r="AQ229" s="36"/>
      <c r="AR229" s="37"/>
      <c r="AS229" s="36">
        <f t="shared" si="271"/>
        <v>0</v>
      </c>
      <c r="AT229" s="37">
        <v>0</v>
      </c>
      <c r="AU229" s="36">
        <f t="shared" si="272"/>
        <v>0</v>
      </c>
      <c r="AV229" s="37">
        <v>0</v>
      </c>
      <c r="AW229" s="36">
        <f t="shared" si="273"/>
        <v>0</v>
      </c>
      <c r="AX229" s="37">
        <v>0</v>
      </c>
      <c r="AY229" s="36">
        <f t="shared" si="274"/>
        <v>0</v>
      </c>
      <c r="AZ229" s="37">
        <v>0</v>
      </c>
      <c r="BA229" s="36">
        <f t="shared" si="275"/>
        <v>0</v>
      </c>
      <c r="BB229" s="37">
        <v>0</v>
      </c>
      <c r="BC229" s="36">
        <f t="shared" si="276"/>
        <v>0</v>
      </c>
      <c r="BD229" s="37"/>
      <c r="BE229" s="36">
        <f t="shared" si="277"/>
        <v>0</v>
      </c>
      <c r="BF229" s="37">
        <v>0</v>
      </c>
      <c r="BG229" s="39">
        <f t="shared" si="278"/>
        <v>0</v>
      </c>
      <c r="BH229" s="60">
        <v>0</v>
      </c>
      <c r="BI229" s="36">
        <f t="shared" si="279"/>
        <v>0</v>
      </c>
      <c r="BJ229" s="37">
        <v>0</v>
      </c>
      <c r="BK229" s="36">
        <f t="shared" si="280"/>
        <v>0</v>
      </c>
      <c r="BL229" s="37">
        <v>0</v>
      </c>
      <c r="BM229" s="36">
        <f t="shared" si="281"/>
        <v>0</v>
      </c>
      <c r="BN229" s="37">
        <v>0</v>
      </c>
      <c r="BO229" s="36">
        <f t="shared" si="282"/>
        <v>0</v>
      </c>
      <c r="BP229" s="39"/>
      <c r="BQ229" s="36"/>
      <c r="BR229" s="37">
        <v>0</v>
      </c>
      <c r="BS229" s="36">
        <f t="shared" si="283"/>
        <v>0</v>
      </c>
      <c r="BT229" s="37">
        <v>0</v>
      </c>
      <c r="BU229" s="36">
        <f t="shared" si="284"/>
        <v>0</v>
      </c>
      <c r="BV229" s="36">
        <v>0</v>
      </c>
      <c r="BW229" s="36">
        <f t="shared" si="285"/>
        <v>0</v>
      </c>
      <c r="BX229" s="37">
        <v>0</v>
      </c>
      <c r="BY229" s="36">
        <f t="shared" si="286"/>
        <v>0</v>
      </c>
      <c r="BZ229" s="37"/>
      <c r="CA229" s="36">
        <f t="shared" si="287"/>
        <v>0</v>
      </c>
      <c r="CB229" s="37"/>
      <c r="CC229" s="36">
        <f t="shared" si="288"/>
        <v>0</v>
      </c>
      <c r="CD229" s="37">
        <v>0</v>
      </c>
      <c r="CE229" s="36">
        <f t="shared" si="289"/>
        <v>0</v>
      </c>
      <c r="CF229" s="37">
        <v>0</v>
      </c>
      <c r="CG229" s="36">
        <f t="shared" si="290"/>
        <v>0</v>
      </c>
      <c r="CH229" s="37">
        <v>0</v>
      </c>
      <c r="CI229" s="36">
        <f t="shared" si="291"/>
        <v>0</v>
      </c>
      <c r="CJ229" s="36"/>
      <c r="CK229" s="41">
        <f t="shared" si="294"/>
        <v>0</v>
      </c>
      <c r="CL229" s="41"/>
      <c r="CM229" s="41"/>
      <c r="CN229" s="41"/>
      <c r="CO229" s="41"/>
      <c r="CP229" s="42">
        <f t="shared" si="292"/>
        <v>0</v>
      </c>
      <c r="CQ229" s="42">
        <f t="shared" si="292"/>
        <v>0</v>
      </c>
    </row>
    <row r="230" spans="1:95" s="3" customFormat="1" ht="30" hidden="1" customHeight="1" x14ac:dyDescent="0.25">
      <c r="A230" s="54"/>
      <c r="B230" s="54">
        <v>153</v>
      </c>
      <c r="C230" s="55" t="s">
        <v>573</v>
      </c>
      <c r="D230" s="121" t="s">
        <v>574</v>
      </c>
      <c r="E230" s="110">
        <v>16026</v>
      </c>
      <c r="F230" s="110">
        <v>16828</v>
      </c>
      <c r="G230" s="33">
        <v>2.17</v>
      </c>
      <c r="H230" s="34"/>
      <c r="I230" s="35">
        <v>1</v>
      </c>
      <c r="J230" s="111"/>
      <c r="K230" s="35"/>
      <c r="L230" s="97">
        <v>1.4</v>
      </c>
      <c r="M230" s="97">
        <v>1.68</v>
      </c>
      <c r="N230" s="97">
        <v>2.23</v>
      </c>
      <c r="O230" s="97">
        <v>2.57</v>
      </c>
      <c r="P230" s="36">
        <v>0</v>
      </c>
      <c r="Q230" s="36">
        <f t="shared" si="293"/>
        <v>0</v>
      </c>
      <c r="R230" s="37">
        <v>0</v>
      </c>
      <c r="S230" s="36">
        <f t="shared" si="261"/>
        <v>0</v>
      </c>
      <c r="T230" s="36">
        <v>0</v>
      </c>
      <c r="U230" s="36">
        <f t="shared" si="262"/>
        <v>0</v>
      </c>
      <c r="V230" s="37">
        <v>0</v>
      </c>
      <c r="W230" s="36">
        <f t="shared" si="263"/>
        <v>0</v>
      </c>
      <c r="X230" s="37">
        <v>0</v>
      </c>
      <c r="Y230" s="38">
        <f t="shared" si="264"/>
        <v>0</v>
      </c>
      <c r="Z230" s="37"/>
      <c r="AA230" s="36"/>
      <c r="AB230" s="37"/>
      <c r="AC230" s="36">
        <f t="shared" si="265"/>
        <v>0</v>
      </c>
      <c r="AD230" s="37">
        <v>0</v>
      </c>
      <c r="AE230" s="36">
        <f t="shared" si="266"/>
        <v>0</v>
      </c>
      <c r="AF230" s="37">
        <v>0</v>
      </c>
      <c r="AG230" s="36">
        <f t="shared" si="267"/>
        <v>0</v>
      </c>
      <c r="AH230" s="37">
        <v>0</v>
      </c>
      <c r="AI230" s="36">
        <f t="shared" si="268"/>
        <v>0</v>
      </c>
      <c r="AJ230" s="36">
        <v>0</v>
      </c>
      <c r="AK230" s="36">
        <v>0</v>
      </c>
      <c r="AL230" s="37"/>
      <c r="AM230" s="36">
        <f t="shared" si="269"/>
        <v>0</v>
      </c>
      <c r="AN230" s="37">
        <v>0</v>
      </c>
      <c r="AO230" s="36">
        <f t="shared" si="270"/>
        <v>0</v>
      </c>
      <c r="AP230" s="37"/>
      <c r="AQ230" s="36"/>
      <c r="AR230" s="37"/>
      <c r="AS230" s="36">
        <f t="shared" si="271"/>
        <v>0</v>
      </c>
      <c r="AT230" s="37">
        <v>0</v>
      </c>
      <c r="AU230" s="36">
        <f t="shared" si="272"/>
        <v>0</v>
      </c>
      <c r="AV230" s="37">
        <v>0</v>
      </c>
      <c r="AW230" s="36">
        <f t="shared" si="273"/>
        <v>0</v>
      </c>
      <c r="AX230" s="37">
        <v>0</v>
      </c>
      <c r="AY230" s="36">
        <f t="shared" si="274"/>
        <v>0</v>
      </c>
      <c r="AZ230" s="37">
        <v>0</v>
      </c>
      <c r="BA230" s="36">
        <f t="shared" si="275"/>
        <v>0</v>
      </c>
      <c r="BB230" s="37">
        <v>0</v>
      </c>
      <c r="BC230" s="36">
        <f t="shared" si="276"/>
        <v>0</v>
      </c>
      <c r="BD230" s="37"/>
      <c r="BE230" s="36">
        <f t="shared" si="277"/>
        <v>0</v>
      </c>
      <c r="BF230" s="37">
        <v>0</v>
      </c>
      <c r="BG230" s="39">
        <f t="shared" si="278"/>
        <v>0</v>
      </c>
      <c r="BH230" s="60">
        <v>0</v>
      </c>
      <c r="BI230" s="36">
        <f t="shared" si="279"/>
        <v>0</v>
      </c>
      <c r="BJ230" s="37">
        <v>0</v>
      </c>
      <c r="BK230" s="36">
        <f t="shared" si="280"/>
        <v>0</v>
      </c>
      <c r="BL230" s="37">
        <v>0</v>
      </c>
      <c r="BM230" s="36">
        <f t="shared" si="281"/>
        <v>0</v>
      </c>
      <c r="BN230" s="37">
        <v>0</v>
      </c>
      <c r="BO230" s="36">
        <f t="shared" si="282"/>
        <v>0</v>
      </c>
      <c r="BP230" s="39"/>
      <c r="BQ230" s="36"/>
      <c r="BR230" s="37">
        <v>0</v>
      </c>
      <c r="BS230" s="36">
        <f t="shared" si="283"/>
        <v>0</v>
      </c>
      <c r="BT230" s="37">
        <v>0</v>
      </c>
      <c r="BU230" s="36">
        <f t="shared" si="284"/>
        <v>0</v>
      </c>
      <c r="BV230" s="36">
        <v>0</v>
      </c>
      <c r="BW230" s="36">
        <f t="shared" si="285"/>
        <v>0</v>
      </c>
      <c r="BX230" s="37">
        <v>0</v>
      </c>
      <c r="BY230" s="36">
        <f t="shared" si="286"/>
        <v>0</v>
      </c>
      <c r="BZ230" s="37"/>
      <c r="CA230" s="36">
        <f t="shared" si="287"/>
        <v>0</v>
      </c>
      <c r="CB230" s="37"/>
      <c r="CC230" s="36">
        <f t="shared" si="288"/>
        <v>0</v>
      </c>
      <c r="CD230" s="37">
        <v>0</v>
      </c>
      <c r="CE230" s="36">
        <f t="shared" si="289"/>
        <v>0</v>
      </c>
      <c r="CF230" s="37">
        <v>0</v>
      </c>
      <c r="CG230" s="36">
        <f t="shared" si="290"/>
        <v>0</v>
      </c>
      <c r="CH230" s="37">
        <v>0</v>
      </c>
      <c r="CI230" s="36">
        <f t="shared" si="291"/>
        <v>0</v>
      </c>
      <c r="CJ230" s="36"/>
      <c r="CK230" s="41">
        <f t="shared" si="294"/>
        <v>0</v>
      </c>
      <c r="CL230" s="41"/>
      <c r="CM230" s="41"/>
      <c r="CN230" s="41"/>
      <c r="CO230" s="41"/>
      <c r="CP230" s="42">
        <f t="shared" si="292"/>
        <v>0</v>
      </c>
      <c r="CQ230" s="42">
        <f t="shared" si="292"/>
        <v>0</v>
      </c>
    </row>
    <row r="231" spans="1:95" ht="18.75" hidden="1" customHeight="1" x14ac:dyDescent="0.25">
      <c r="A231" s="124">
        <v>33</v>
      </c>
      <c r="B231" s="124"/>
      <c r="C231" s="149" t="s">
        <v>575</v>
      </c>
      <c r="D231" s="141" t="s">
        <v>576</v>
      </c>
      <c r="E231" s="110">
        <v>16026</v>
      </c>
      <c r="F231" s="134">
        <v>16828</v>
      </c>
      <c r="G231" s="138">
        <v>1.1000000000000001</v>
      </c>
      <c r="H231" s="136"/>
      <c r="I231" s="128"/>
      <c r="J231" s="129"/>
      <c r="K231" s="29"/>
      <c r="L231" s="97">
        <v>1.4</v>
      </c>
      <c r="M231" s="97">
        <v>1.68</v>
      </c>
      <c r="N231" s="97">
        <v>2.23</v>
      </c>
      <c r="O231" s="97">
        <v>2.57</v>
      </c>
      <c r="P231" s="139">
        <f>P232</f>
        <v>0</v>
      </c>
      <c r="Q231" s="139">
        <f t="shared" ref="Q231:CB231" si="295">Q232</f>
        <v>0</v>
      </c>
      <c r="R231" s="139">
        <f t="shared" si="295"/>
        <v>0</v>
      </c>
      <c r="S231" s="139">
        <f t="shared" si="295"/>
        <v>0</v>
      </c>
      <c r="T231" s="139">
        <f t="shared" si="295"/>
        <v>0</v>
      </c>
      <c r="U231" s="139">
        <f t="shared" si="295"/>
        <v>0</v>
      </c>
      <c r="V231" s="139">
        <f t="shared" si="295"/>
        <v>0</v>
      </c>
      <c r="W231" s="139">
        <f t="shared" si="295"/>
        <v>0</v>
      </c>
      <c r="X231" s="139">
        <f t="shared" si="295"/>
        <v>0</v>
      </c>
      <c r="Y231" s="139">
        <f t="shared" si="295"/>
        <v>0</v>
      </c>
      <c r="Z231" s="139">
        <f t="shared" si="295"/>
        <v>0</v>
      </c>
      <c r="AA231" s="139">
        <f t="shared" si="295"/>
        <v>0</v>
      </c>
      <c r="AB231" s="139">
        <f t="shared" si="295"/>
        <v>0</v>
      </c>
      <c r="AC231" s="139">
        <f t="shared" si="295"/>
        <v>0</v>
      </c>
      <c r="AD231" s="139">
        <f t="shared" si="295"/>
        <v>0</v>
      </c>
      <c r="AE231" s="139">
        <f t="shared" si="295"/>
        <v>0</v>
      </c>
      <c r="AF231" s="139">
        <f t="shared" si="295"/>
        <v>0</v>
      </c>
      <c r="AG231" s="139">
        <f t="shared" si="295"/>
        <v>0</v>
      </c>
      <c r="AH231" s="139">
        <f>AH232</f>
        <v>1</v>
      </c>
      <c r="AI231" s="139">
        <f t="shared" si="295"/>
        <v>30851.128000000001</v>
      </c>
      <c r="AJ231" s="139">
        <v>1</v>
      </c>
      <c r="AK231" s="139">
        <v>31098.14</v>
      </c>
      <c r="AL231" s="139">
        <f t="shared" si="295"/>
        <v>0</v>
      </c>
      <c r="AM231" s="139">
        <f t="shared" si="295"/>
        <v>0</v>
      </c>
      <c r="AN231" s="139">
        <f t="shared" si="295"/>
        <v>0</v>
      </c>
      <c r="AO231" s="139">
        <f t="shared" si="295"/>
        <v>0</v>
      </c>
      <c r="AP231" s="139">
        <f t="shared" si="295"/>
        <v>0</v>
      </c>
      <c r="AQ231" s="139">
        <f t="shared" si="295"/>
        <v>0</v>
      </c>
      <c r="AR231" s="139">
        <f t="shared" si="295"/>
        <v>0</v>
      </c>
      <c r="AS231" s="139">
        <f t="shared" si="295"/>
        <v>0</v>
      </c>
      <c r="AT231" s="139">
        <f t="shared" si="295"/>
        <v>0</v>
      </c>
      <c r="AU231" s="139">
        <f t="shared" si="295"/>
        <v>0</v>
      </c>
      <c r="AV231" s="139">
        <f t="shared" si="295"/>
        <v>0</v>
      </c>
      <c r="AW231" s="139">
        <f t="shared" si="295"/>
        <v>0</v>
      </c>
      <c r="AX231" s="139">
        <f t="shared" si="295"/>
        <v>0</v>
      </c>
      <c r="AY231" s="139">
        <f t="shared" si="295"/>
        <v>0</v>
      </c>
      <c r="AZ231" s="139">
        <f t="shared" si="295"/>
        <v>0</v>
      </c>
      <c r="BA231" s="139">
        <f t="shared" si="295"/>
        <v>0</v>
      </c>
      <c r="BB231" s="139">
        <f t="shared" si="295"/>
        <v>0</v>
      </c>
      <c r="BC231" s="139">
        <f t="shared" si="295"/>
        <v>0</v>
      </c>
      <c r="BD231" s="139">
        <f t="shared" si="295"/>
        <v>2</v>
      </c>
      <c r="BE231" s="139">
        <f t="shared" si="295"/>
        <v>51418.546666666662</v>
      </c>
      <c r="BF231" s="139">
        <f t="shared" si="295"/>
        <v>0</v>
      </c>
      <c r="BG231" s="139">
        <f t="shared" si="295"/>
        <v>0</v>
      </c>
      <c r="BH231" s="139">
        <f t="shared" si="295"/>
        <v>0</v>
      </c>
      <c r="BI231" s="139">
        <f t="shared" si="295"/>
        <v>0</v>
      </c>
      <c r="BJ231" s="139">
        <f t="shared" si="295"/>
        <v>0</v>
      </c>
      <c r="BK231" s="139">
        <f t="shared" si="295"/>
        <v>0</v>
      </c>
      <c r="BL231" s="139">
        <f t="shared" si="295"/>
        <v>0</v>
      </c>
      <c r="BM231" s="139">
        <f t="shared" si="295"/>
        <v>0</v>
      </c>
      <c r="BN231" s="139">
        <f t="shared" si="295"/>
        <v>0</v>
      </c>
      <c r="BO231" s="139">
        <f t="shared" si="295"/>
        <v>0</v>
      </c>
      <c r="BP231" s="139">
        <f t="shared" si="295"/>
        <v>0</v>
      </c>
      <c r="BQ231" s="139">
        <f t="shared" si="295"/>
        <v>0</v>
      </c>
      <c r="BR231" s="139">
        <f t="shared" si="295"/>
        <v>2</v>
      </c>
      <c r="BS231" s="139">
        <f t="shared" si="295"/>
        <v>51830.239999999998</v>
      </c>
      <c r="BT231" s="139">
        <f t="shared" si="295"/>
        <v>0</v>
      </c>
      <c r="BU231" s="139">
        <f t="shared" si="295"/>
        <v>0</v>
      </c>
      <c r="BV231" s="139">
        <f t="shared" si="295"/>
        <v>0</v>
      </c>
      <c r="BW231" s="139">
        <f t="shared" si="295"/>
        <v>0</v>
      </c>
      <c r="BX231" s="139">
        <f t="shared" si="295"/>
        <v>0</v>
      </c>
      <c r="BY231" s="139">
        <f t="shared" si="295"/>
        <v>0</v>
      </c>
      <c r="BZ231" s="139">
        <f t="shared" si="295"/>
        <v>0</v>
      </c>
      <c r="CA231" s="139">
        <f t="shared" si="295"/>
        <v>0</v>
      </c>
      <c r="CB231" s="139">
        <f t="shared" si="295"/>
        <v>0</v>
      </c>
      <c r="CC231" s="139">
        <f t="shared" ref="CC231:CQ231" si="296">CC232</f>
        <v>0</v>
      </c>
      <c r="CD231" s="139">
        <f t="shared" si="296"/>
        <v>0</v>
      </c>
      <c r="CE231" s="139">
        <f t="shared" si="296"/>
        <v>0</v>
      </c>
      <c r="CF231" s="139">
        <f t="shared" si="296"/>
        <v>0</v>
      </c>
      <c r="CG231" s="139">
        <f t="shared" si="296"/>
        <v>0</v>
      </c>
      <c r="CH231" s="139">
        <f t="shared" si="296"/>
        <v>5</v>
      </c>
      <c r="CI231" s="139">
        <f t="shared" si="296"/>
        <v>235974.40166666667</v>
      </c>
      <c r="CJ231" s="139">
        <f t="shared" si="296"/>
        <v>0</v>
      </c>
      <c r="CK231" s="139">
        <f t="shared" si="296"/>
        <v>0</v>
      </c>
      <c r="CL231" s="139">
        <f t="shared" si="296"/>
        <v>0</v>
      </c>
      <c r="CM231" s="139">
        <f t="shared" si="296"/>
        <v>0</v>
      </c>
      <c r="CN231" s="139">
        <f t="shared" si="296"/>
        <v>0</v>
      </c>
      <c r="CO231" s="139">
        <f t="shared" si="296"/>
        <v>0</v>
      </c>
      <c r="CP231" s="139">
        <f t="shared" si="296"/>
        <v>11</v>
      </c>
      <c r="CQ231" s="139">
        <f t="shared" si="296"/>
        <v>401172.45633333334</v>
      </c>
    </row>
    <row r="232" spans="1:95" s="3" customFormat="1" ht="18.75" hidden="1" customHeight="1" x14ac:dyDescent="0.25">
      <c r="A232" s="54"/>
      <c r="B232" s="54">
        <v>154</v>
      </c>
      <c r="C232" s="55" t="s">
        <v>577</v>
      </c>
      <c r="D232" s="121" t="s">
        <v>578</v>
      </c>
      <c r="E232" s="110">
        <v>16026</v>
      </c>
      <c r="F232" s="110">
        <v>16828</v>
      </c>
      <c r="G232" s="33">
        <v>1.1000000000000001</v>
      </c>
      <c r="H232" s="34"/>
      <c r="I232" s="35">
        <v>1</v>
      </c>
      <c r="J232" s="111"/>
      <c r="K232" s="35"/>
      <c r="L232" s="97">
        <v>1.4</v>
      </c>
      <c r="M232" s="97">
        <v>1.68</v>
      </c>
      <c r="N232" s="97">
        <v>2.23</v>
      </c>
      <c r="O232" s="97">
        <v>2.57</v>
      </c>
      <c r="P232" s="36">
        <v>0</v>
      </c>
      <c r="Q232" s="36">
        <f>SUM(P232/12*2*$E232*$G232*$I232*$L232*$Q$9)+(P232/12*10*$F232*$G232*$I232*$L232*$Q$9)</f>
        <v>0</v>
      </c>
      <c r="R232" s="37">
        <v>0</v>
      </c>
      <c r="S232" s="36">
        <f>SUM(R232/12*2*$E232*$G232*$I232*$L232*S$9)+(R232/12*10*$F232*$G232*$I232*$L232*S$9)</f>
        <v>0</v>
      </c>
      <c r="T232" s="36">
        <v>0</v>
      </c>
      <c r="U232" s="36">
        <f>SUM(T232/12*2*$E232*$G232*$I232*$L232*U$9)+(T232/12*10*$F232*$G232*$I232*$L232*U$9)</f>
        <v>0</v>
      </c>
      <c r="V232" s="37">
        <v>0</v>
      </c>
      <c r="W232" s="36">
        <f>SUM(V232/12*2*$E232*$G232*$I232*$L232*$W$9)+(V232/12*10*$F232*$G232*$I232*$L232*$W$9)</f>
        <v>0</v>
      </c>
      <c r="X232" s="37">
        <v>0</v>
      </c>
      <c r="Y232" s="38">
        <f>SUM(X232/12*2*$E232*$G232*$I232*$L232*Y$9)+(X232/12*10*$F232*$G232*$I232*$L232*Y$9)</f>
        <v>0</v>
      </c>
      <c r="Z232" s="37"/>
      <c r="AA232" s="36"/>
      <c r="AB232" s="37">
        <v>0</v>
      </c>
      <c r="AC232" s="36">
        <f>(AB232/12*2*$E232*$G232*$I232*$L232)+(AB232/12*10*$F232*$G232*$I232*$L232)</f>
        <v>0</v>
      </c>
      <c r="AD232" s="37">
        <v>0</v>
      </c>
      <c r="AE232" s="36">
        <f>(AD232/12*2*$E232*$G232*$I232*$L232*AE$9)+(AD232/12*10*$F232*$G232*$I232*$L232*AE$9)</f>
        <v>0</v>
      </c>
      <c r="AF232" s="37">
        <v>0</v>
      </c>
      <c r="AG232" s="36">
        <f>(AF232/12*2*$E232*$G232*$I232*$M232*AG$9)+(AF232/12*10*$F232*$G232*$I232*$M232*AG$9)</f>
        <v>0</v>
      </c>
      <c r="AH232" s="58">
        <v>1</v>
      </c>
      <c r="AI232" s="36">
        <f>(AH232/12*2*$E232*$G232*$I232*$M232*$AI$9)+(AH232/12*10*$F232*$G232*$I232*$M232*$AI$9)</f>
        <v>30851.128000000001</v>
      </c>
      <c r="AJ232" s="36">
        <v>1</v>
      </c>
      <c r="AK232" s="36">
        <v>31098.14</v>
      </c>
      <c r="AL232" s="37"/>
      <c r="AM232" s="36">
        <f>SUM(AL232/12*2*$E232*$G232*$I232*$L232*AM$9)+(AL232/12*10*$F232*$G232*$I232*$L232*AM$9)</f>
        <v>0</v>
      </c>
      <c r="AN232" s="37">
        <v>0</v>
      </c>
      <c r="AO232" s="36">
        <f>SUM(AN232/12*2*$E232*$G232*$I232*$L232*$AE$9)+(AN232/12*10*$F232*$G232*$I232*$L232*$AE$9)</f>
        <v>0</v>
      </c>
      <c r="AP232" s="37"/>
      <c r="AQ232" s="36"/>
      <c r="AR232" s="37"/>
      <c r="AS232" s="36">
        <f>SUM(AR232/12*2*$E232*$G232*$I232*$L232*AS$9)+(AR232/12*10*$F232*$G232*$I232*$L232*AS$9)</f>
        <v>0</v>
      </c>
      <c r="AT232" s="37">
        <v>0</v>
      </c>
      <c r="AU232" s="36">
        <f>SUM(AT232/12*2*$E232*$G232*$I232*$L232*$AI$9)+(AT232/12*10*$F232*$G232*$I232*$L232*$AI$9)</f>
        <v>0</v>
      </c>
      <c r="AV232" s="37"/>
      <c r="AW232" s="36">
        <f>SUM(AV232/12*2*$E232*$G232*$I232*$L232*AW$9)+(AV232/12*10*$F232*$G232*$I232*$L232*AW$9)</f>
        <v>0</v>
      </c>
      <c r="AX232" s="37"/>
      <c r="AY232" s="36">
        <f>SUM(AX232/12*2*$E232*$G232*$I232*$L232*AY$9)+(AX232/12*10*$F232*$G232*$I232*$L232*AY$9)</f>
        <v>0</v>
      </c>
      <c r="AZ232" s="37">
        <v>0</v>
      </c>
      <c r="BA232" s="36">
        <f>SUM(AZ232/12*2*$E232*$G232*$I232*$L232*BA$9)+(AZ232/12*10*$F232*$G232*$I232*$L232*BA$9)</f>
        <v>0</v>
      </c>
      <c r="BB232" s="37"/>
      <c r="BC232" s="36">
        <f>SUM(BB232/12*2*$E232*$G232*$I232*$L232*BC$9)+(BB232/12*10*$F232*$G232*$I232*$L232*BC$9)</f>
        <v>0</v>
      </c>
      <c r="BD232" s="37">
        <v>2</v>
      </c>
      <c r="BE232" s="36">
        <f>SUM(BD232/12*2*$E232*$G232*$I232*$L232*BE$9)+(BD232/12*10*$F232*$G232*$I232*$L232*BE$9)</f>
        <v>51418.546666666662</v>
      </c>
      <c r="BF232" s="37">
        <v>0</v>
      </c>
      <c r="BG232" s="39">
        <f>(BF232/12*2*$E232*$G232*$I232*$M232*BG$9)+(BF232/12*10*$F232*$G232*$I232*$M232*BG$9)</f>
        <v>0</v>
      </c>
      <c r="BH232" s="60">
        <v>0</v>
      </c>
      <c r="BI232" s="36">
        <f>(BH232/12*2*$E232*$G232*$I232*$M232*BI$9)+(BH232/12*10*$F232*$G232*$I232*$M232*BI$9)</f>
        <v>0</v>
      </c>
      <c r="BJ232" s="37">
        <v>0</v>
      </c>
      <c r="BK232" s="36">
        <f>(BJ232/12*2*$E232*$G232*$I232*$M232*BK$9)+(BJ232/12*10*$F232*$G232*$I232*$M232*BK$9)</f>
        <v>0</v>
      </c>
      <c r="BL232" s="37">
        <v>0</v>
      </c>
      <c r="BM232" s="36">
        <f>(BL232/12*2*$E232*$G232*$I232*$M232*BM$9)+(BL232/12*10*$F232*$G232*$I232*$M232*BM$9)</f>
        <v>0</v>
      </c>
      <c r="BN232" s="37"/>
      <c r="BO232" s="36">
        <f>(BN232/12*10*$F232*$G232*$I232*$M232*BO$9)</f>
        <v>0</v>
      </c>
      <c r="BP232" s="39"/>
      <c r="BQ232" s="36"/>
      <c r="BR232" s="58">
        <v>2</v>
      </c>
      <c r="BS232" s="36">
        <f>(BR232/12*10*$F232*$G232*$I232*$M232*BS$9)</f>
        <v>51830.239999999998</v>
      </c>
      <c r="BT232" s="37">
        <v>0</v>
      </c>
      <c r="BU232" s="36">
        <f>(BT232/12*2*$E232*$G232*$I232*$M232*BU$9)+(BT232/12*10*$F232*$G232*$I232*$M232*BU$9)</f>
        <v>0</v>
      </c>
      <c r="BV232" s="36"/>
      <c r="BW232" s="36">
        <f>(BV232/12*2*$E232*$G232*$I232*$M232*BW$9)+(BV232/12*10*$F232*$G232*$I232*$M232*BW$9)</f>
        <v>0</v>
      </c>
      <c r="BX232" s="37"/>
      <c r="BY232" s="36">
        <f>(BX232/12*2*$E232*$G232*$I232*$M232*BY$9)+(BX232/12*10*$F232*$G232*$I232*$M232*BY$9)</f>
        <v>0</v>
      </c>
      <c r="BZ232" s="37"/>
      <c r="CA232" s="36">
        <f>(BZ232/12*2*$E232*$G232*$I232*$M232*CA$9)+(BZ232/12*10*$F232*$G232*$I232*$M232*CA$9)</f>
        <v>0</v>
      </c>
      <c r="CB232" s="37"/>
      <c r="CC232" s="36">
        <f>(CB232/12*2*$E232*$G232*$I232*$M232*CC$9)+(CB232/12*10*$F232*$G232*$I232*$M232*CC$9)</f>
        <v>0</v>
      </c>
      <c r="CD232" s="37"/>
      <c r="CE232" s="36">
        <f>(CD232/12*2*$E232*$G232*$I232*$M232*CE$9)+(CD232/12*10*$F232*$G232*$I232*$M232*CE$9)</f>
        <v>0</v>
      </c>
      <c r="CF232" s="37">
        <v>0</v>
      </c>
      <c r="CG232" s="36">
        <f>(CF232/12*2*$E232*$G232*$I232*$N232*CG$9)+(CF232/12*10*$F232*$G232*$I232*$N232*CG$9)</f>
        <v>0</v>
      </c>
      <c r="CH232" s="36">
        <v>5</v>
      </c>
      <c r="CI232" s="36">
        <f>(CH232/12*2*$E232*$G232*$I232*$O232*$CI$9)+(CH232/12*10*$F232*$G232*$I232*$O232*$CI$9)</f>
        <v>235974.40166666667</v>
      </c>
      <c r="CJ232" s="36"/>
      <c r="CK232" s="41">
        <f>(CJ232/12*2*$E232*$G232*$I232*$M232)+(CJ232/12*10*$F232*$G232*$I232*$M232)</f>
        <v>0</v>
      </c>
      <c r="CL232" s="41"/>
      <c r="CM232" s="41"/>
      <c r="CN232" s="41"/>
      <c r="CO232" s="41"/>
      <c r="CP232" s="42">
        <f>SUM(R232+P232+T232+V232+AB232+Z232+X232+AF232+AD232+AH232+AJ232+BF232+BJ232+AL232+AT232+AV232+BT232+BV232+BR232+BX232+BZ232+BN232+AN232+AP232+AR232+BH232+BL232+AX232+AZ232+BB232+BD232+BP232+CB232+CD232+CF232+CH232+CJ232+CL232)</f>
        <v>11</v>
      </c>
      <c r="CQ232" s="42">
        <f>SUM(S232+Q232+U232+W232+AC232+AA232+Y232+AG232+AE232+AI232+AK232+BG232+BK232+AM232+AU232+AW232+BU232+BW232+BS232+BY232+CA232+BO232+AO232+AQ232+AS232+BI232+BM232+AY232+BA232+BC232+BE232+BQ232+CC232+CE232+CG232+CI232+CK232+CM232)</f>
        <v>401172.45633333334</v>
      </c>
    </row>
    <row r="233" spans="1:95" ht="18.75" hidden="1" customHeight="1" x14ac:dyDescent="0.25">
      <c r="A233" s="124">
        <v>34</v>
      </c>
      <c r="B233" s="124"/>
      <c r="C233" s="149" t="s">
        <v>579</v>
      </c>
      <c r="D233" s="141" t="s">
        <v>580</v>
      </c>
      <c r="E233" s="110">
        <v>16026</v>
      </c>
      <c r="F233" s="134">
        <v>16828</v>
      </c>
      <c r="G233" s="138">
        <v>0.89</v>
      </c>
      <c r="H233" s="136"/>
      <c r="I233" s="128"/>
      <c r="J233" s="129"/>
      <c r="K233" s="29"/>
      <c r="L233" s="97">
        <v>1.4</v>
      </c>
      <c r="M233" s="97">
        <v>1.68</v>
      </c>
      <c r="N233" s="97">
        <v>2.23</v>
      </c>
      <c r="O233" s="97">
        <v>2.57</v>
      </c>
      <c r="P233" s="139">
        <f>SUM(P234:P236)</f>
        <v>0</v>
      </c>
      <c r="Q233" s="139">
        <f t="shared" ref="Q233:BH233" si="297">SUM(Q234:Q236)</f>
        <v>0</v>
      </c>
      <c r="R233" s="139">
        <f t="shared" si="297"/>
        <v>0</v>
      </c>
      <c r="S233" s="139">
        <f t="shared" si="297"/>
        <v>0</v>
      </c>
      <c r="T233" s="139">
        <f t="shared" si="297"/>
        <v>0</v>
      </c>
      <c r="U233" s="139">
        <f t="shared" si="297"/>
        <v>0</v>
      </c>
      <c r="V233" s="139">
        <f t="shared" si="297"/>
        <v>0</v>
      </c>
      <c r="W233" s="139">
        <f t="shared" si="297"/>
        <v>0</v>
      </c>
      <c r="X233" s="139">
        <f t="shared" si="297"/>
        <v>0</v>
      </c>
      <c r="Y233" s="139">
        <f t="shared" si="297"/>
        <v>0</v>
      </c>
      <c r="Z233" s="139">
        <f t="shared" si="297"/>
        <v>0</v>
      </c>
      <c r="AA233" s="139">
        <f t="shared" si="297"/>
        <v>0</v>
      </c>
      <c r="AB233" s="139">
        <f t="shared" si="297"/>
        <v>0</v>
      </c>
      <c r="AC233" s="139">
        <f t="shared" si="297"/>
        <v>0</v>
      </c>
      <c r="AD233" s="139">
        <f t="shared" si="297"/>
        <v>0</v>
      </c>
      <c r="AE233" s="139">
        <f t="shared" si="297"/>
        <v>0</v>
      </c>
      <c r="AF233" s="139">
        <f t="shared" si="297"/>
        <v>0</v>
      </c>
      <c r="AG233" s="139">
        <f t="shared" si="297"/>
        <v>0</v>
      </c>
      <c r="AH233" s="139">
        <f>SUM(AH234:AH236)</f>
        <v>0</v>
      </c>
      <c r="AI233" s="139">
        <f t="shared" si="297"/>
        <v>0</v>
      </c>
      <c r="AJ233" s="139">
        <v>0</v>
      </c>
      <c r="AK233" s="139">
        <v>0</v>
      </c>
      <c r="AL233" s="139">
        <f t="shared" si="297"/>
        <v>0</v>
      </c>
      <c r="AM233" s="139">
        <f t="shared" si="297"/>
        <v>0</v>
      </c>
      <c r="AN233" s="139">
        <f t="shared" si="297"/>
        <v>0</v>
      </c>
      <c r="AO233" s="139">
        <f t="shared" si="297"/>
        <v>0</v>
      </c>
      <c r="AP233" s="139">
        <f t="shared" si="297"/>
        <v>0</v>
      </c>
      <c r="AQ233" s="139">
        <f t="shared" si="297"/>
        <v>0</v>
      </c>
      <c r="AR233" s="139">
        <f t="shared" si="297"/>
        <v>0</v>
      </c>
      <c r="AS233" s="139">
        <f t="shared" si="297"/>
        <v>0</v>
      </c>
      <c r="AT233" s="139">
        <f t="shared" si="297"/>
        <v>0</v>
      </c>
      <c r="AU233" s="139">
        <f t="shared" si="297"/>
        <v>0</v>
      </c>
      <c r="AV233" s="139">
        <f t="shared" si="297"/>
        <v>0</v>
      </c>
      <c r="AW233" s="139">
        <f t="shared" si="297"/>
        <v>0</v>
      </c>
      <c r="AX233" s="139">
        <f t="shared" si="297"/>
        <v>0</v>
      </c>
      <c r="AY233" s="139">
        <f t="shared" si="297"/>
        <v>0</v>
      </c>
      <c r="AZ233" s="139">
        <f t="shared" si="297"/>
        <v>0</v>
      </c>
      <c r="BA233" s="139">
        <f>SUM(BA234:BA236)</f>
        <v>0</v>
      </c>
      <c r="BB233" s="139">
        <f t="shared" si="297"/>
        <v>0</v>
      </c>
      <c r="BC233" s="139">
        <f>SUM(BC234:BC236)</f>
        <v>0</v>
      </c>
      <c r="BD233" s="139">
        <f t="shared" si="297"/>
        <v>0</v>
      </c>
      <c r="BE233" s="139">
        <f t="shared" si="297"/>
        <v>0</v>
      </c>
      <c r="BF233" s="139">
        <f t="shared" si="297"/>
        <v>0</v>
      </c>
      <c r="BG233" s="139">
        <f t="shared" si="297"/>
        <v>0</v>
      </c>
      <c r="BH233" s="139">
        <f t="shared" si="297"/>
        <v>0</v>
      </c>
      <c r="BI233" s="139">
        <f>SUM(BI234:BI236)</f>
        <v>0</v>
      </c>
      <c r="BJ233" s="139">
        <f t="shared" ref="BJ233:BT233" si="298">SUM(BJ234:BJ236)</f>
        <v>23</v>
      </c>
      <c r="BK233" s="139">
        <f t="shared" si="298"/>
        <v>636094.16639999999</v>
      </c>
      <c r="BL233" s="139">
        <f t="shared" si="298"/>
        <v>0</v>
      </c>
      <c r="BM233" s="139">
        <f t="shared" si="298"/>
        <v>0</v>
      </c>
      <c r="BN233" s="139">
        <f t="shared" si="298"/>
        <v>0</v>
      </c>
      <c r="BO233" s="139">
        <f>SUM(BO234:BO236)</f>
        <v>0</v>
      </c>
      <c r="BP233" s="139">
        <f t="shared" si="298"/>
        <v>0</v>
      </c>
      <c r="BQ233" s="139">
        <f>SUM(BQ234:BQ236)</f>
        <v>0</v>
      </c>
      <c r="BR233" s="139">
        <f t="shared" si="298"/>
        <v>60</v>
      </c>
      <c r="BS233" s="139">
        <f>SUM(BS234:BS236)</f>
        <v>1432399.3599999999</v>
      </c>
      <c r="BT233" s="139">
        <f t="shared" si="298"/>
        <v>0</v>
      </c>
      <c r="BU233" s="139">
        <f>SUM(BU234:BU236)</f>
        <v>0</v>
      </c>
      <c r="BV233" s="139">
        <f t="shared" ref="BV233:CQ233" si="299">SUM(BV234:BV236)</f>
        <v>4</v>
      </c>
      <c r="BW233" s="139">
        <f t="shared" si="299"/>
        <v>98723.609599999996</v>
      </c>
      <c r="BX233" s="139">
        <f t="shared" si="299"/>
        <v>0</v>
      </c>
      <c r="BY233" s="139">
        <f t="shared" si="299"/>
        <v>0</v>
      </c>
      <c r="BZ233" s="139">
        <f t="shared" si="299"/>
        <v>0</v>
      </c>
      <c r="CA233" s="139">
        <f t="shared" si="299"/>
        <v>0</v>
      </c>
      <c r="CB233" s="139">
        <f t="shared" si="299"/>
        <v>0</v>
      </c>
      <c r="CC233" s="139">
        <f t="shared" si="299"/>
        <v>0</v>
      </c>
      <c r="CD233" s="139">
        <f t="shared" si="299"/>
        <v>0</v>
      </c>
      <c r="CE233" s="139">
        <f t="shared" si="299"/>
        <v>0</v>
      </c>
      <c r="CF233" s="139">
        <f t="shared" si="299"/>
        <v>0</v>
      </c>
      <c r="CG233" s="139">
        <f t="shared" si="299"/>
        <v>0</v>
      </c>
      <c r="CH233" s="139">
        <f t="shared" si="299"/>
        <v>3</v>
      </c>
      <c r="CI233" s="139">
        <f t="shared" si="299"/>
        <v>113267.71279999998</v>
      </c>
      <c r="CJ233" s="139">
        <f t="shared" si="299"/>
        <v>0</v>
      </c>
      <c r="CK233" s="139">
        <f t="shared" si="299"/>
        <v>0</v>
      </c>
      <c r="CL233" s="139">
        <f t="shared" si="299"/>
        <v>0</v>
      </c>
      <c r="CM233" s="139">
        <f t="shared" si="299"/>
        <v>0</v>
      </c>
      <c r="CN233" s="139">
        <f t="shared" si="299"/>
        <v>0</v>
      </c>
      <c r="CO233" s="139">
        <f t="shared" si="299"/>
        <v>0</v>
      </c>
      <c r="CP233" s="139">
        <f t="shared" si="299"/>
        <v>90</v>
      </c>
      <c r="CQ233" s="139">
        <f t="shared" si="299"/>
        <v>2280484.8487999998</v>
      </c>
    </row>
    <row r="234" spans="1:95" s="3" customFormat="1" ht="45" hidden="1" customHeight="1" x14ac:dyDescent="0.25">
      <c r="A234" s="54"/>
      <c r="B234" s="54">
        <v>155</v>
      </c>
      <c r="C234" s="55" t="s">
        <v>581</v>
      </c>
      <c r="D234" s="120" t="s">
        <v>582</v>
      </c>
      <c r="E234" s="110">
        <v>16026</v>
      </c>
      <c r="F234" s="110">
        <v>16828</v>
      </c>
      <c r="G234" s="33">
        <v>0.88</v>
      </c>
      <c r="H234" s="34"/>
      <c r="I234" s="35">
        <v>1</v>
      </c>
      <c r="J234" s="111"/>
      <c r="K234" s="35"/>
      <c r="L234" s="97">
        <v>1.4</v>
      </c>
      <c r="M234" s="97">
        <v>1.68</v>
      </c>
      <c r="N234" s="97">
        <v>2.23</v>
      </c>
      <c r="O234" s="97">
        <v>2.57</v>
      </c>
      <c r="P234" s="36"/>
      <c r="Q234" s="36">
        <f>SUM(P234/12*2*$E234*$G234*$I234*$L234*$Q$9)+(P234/12*10*$F234*$G234*$I234*$L234*$Q$9)</f>
        <v>0</v>
      </c>
      <c r="R234" s="37">
        <v>0</v>
      </c>
      <c r="S234" s="36">
        <f>SUM(R234/12*2*$E234*$G234*$I234*$L234*S$9)+(R234/12*10*$F234*$G234*$I234*$L234*S$9)</f>
        <v>0</v>
      </c>
      <c r="T234" s="36">
        <v>0</v>
      </c>
      <c r="U234" s="36">
        <f>SUM(T234/12*2*$E234*$G234*$I234*$L234*U$9)+(T234/12*10*$F234*$G234*$I234*$L234*U$9)</f>
        <v>0</v>
      </c>
      <c r="V234" s="37">
        <v>0</v>
      </c>
      <c r="W234" s="36">
        <f>SUM(V234/12*2*$E234*$G234*$I234*$L234*$W$9)+(V234/12*10*$F234*$G234*$I234*$L234*$W$9)</f>
        <v>0</v>
      </c>
      <c r="X234" s="37">
        <v>0</v>
      </c>
      <c r="Y234" s="38">
        <f>SUM(X234/12*2*$E234*$G234*$I234*$L234*Y$9)+(X234/12*10*$F234*$G234*$I234*$L234*Y$9)</f>
        <v>0</v>
      </c>
      <c r="Z234" s="37"/>
      <c r="AA234" s="36"/>
      <c r="AB234" s="37">
        <v>0</v>
      </c>
      <c r="AC234" s="36">
        <f>(AB234/12*2*$E234*$G234*$I234*$L234)+(AB234/12*10*$F234*$G234*$I234*$L234)</f>
        <v>0</v>
      </c>
      <c r="AD234" s="37">
        <v>0</v>
      </c>
      <c r="AE234" s="36">
        <f>(AD234/12*2*$E234*$G234*$I234*$L234*AE$9)+(AD234/12*10*$F234*$G234*$I234*$L234*AE$9)</f>
        <v>0</v>
      </c>
      <c r="AF234" s="37">
        <v>0</v>
      </c>
      <c r="AG234" s="36">
        <f>(AF234/12*2*$E234*$G234*$I234*$M234*AG$9)+(AF234/12*10*$F234*$G234*$I234*$M234*AG$9)</f>
        <v>0</v>
      </c>
      <c r="AH234" s="31"/>
      <c r="AI234" s="36">
        <f>(AH234/12*2*$E234*$G234*$I234*$M234*$AI$9)+(AH234/12*10*$F234*$G234*$I234*$M234*$AI$9)</f>
        <v>0</v>
      </c>
      <c r="AJ234" s="36">
        <v>0</v>
      </c>
      <c r="AK234" s="36">
        <v>0</v>
      </c>
      <c r="AL234" s="37"/>
      <c r="AM234" s="36">
        <f>SUM(AL234/12*2*$E234*$G234*$I234*$L234*AM$9)+(AL234/12*10*$F234*$G234*$I234*$L234*AM$9)</f>
        <v>0</v>
      </c>
      <c r="AN234" s="37">
        <v>0</v>
      </c>
      <c r="AO234" s="36">
        <f>SUM(AN234/12*2*$E234*$G234*$I234*$L234*$AE$9)+(AN234/12*10*$F234*$G234*$I234*$L234*$AE$9)</f>
        <v>0</v>
      </c>
      <c r="AP234" s="37"/>
      <c r="AQ234" s="36"/>
      <c r="AR234" s="37"/>
      <c r="AS234" s="36">
        <f>SUM(AR234/12*2*$E234*$G234*$I234*$L234*AS$9)+(AR234/12*10*$F234*$G234*$I234*$L234*AS$9)</f>
        <v>0</v>
      </c>
      <c r="AT234" s="37">
        <v>0</v>
      </c>
      <c r="AU234" s="36">
        <f>SUM(AT234/12*2*$E234*$G234*$I234*$L234*$AI$9)+(AT234/12*10*$F234*$G234*$I234*$L234*$AI$9)</f>
        <v>0</v>
      </c>
      <c r="AV234" s="37">
        <v>0</v>
      </c>
      <c r="AW234" s="36">
        <f>SUM(AV234/12*2*$E234*$G234*$I234*$L234*AW$9)+(AV234/12*10*$F234*$G234*$I234*$L234*AW$9)</f>
        <v>0</v>
      </c>
      <c r="AX234" s="37">
        <v>0</v>
      </c>
      <c r="AY234" s="36">
        <f>SUM(AX234/12*2*$E234*$G234*$I234*$L234*AY$9)+(AX234/12*10*$F234*$G234*$I234*$L234*AY$9)</f>
        <v>0</v>
      </c>
      <c r="AZ234" s="37">
        <v>0</v>
      </c>
      <c r="BA234" s="36">
        <f>SUM(AZ234/12*2*$E234*$G234*$I234*$L234*BA$9)+(AZ234/12*10*$F234*$G234*$I234*$L234*BA$9)</f>
        <v>0</v>
      </c>
      <c r="BB234" s="37">
        <v>0</v>
      </c>
      <c r="BC234" s="36">
        <f>SUM(BB234/12*2*$E234*$G234*$I234*$L234*BC$9)+(BB234/12*10*$F234*$G234*$I234*$L234*BC$9)</f>
        <v>0</v>
      </c>
      <c r="BD234" s="37"/>
      <c r="BE234" s="36">
        <f>SUM(BD234/12*2*$E234*$G234*$I234*$L234*BE$9)+(BD234/12*10*$F234*$G234*$I234*$L234*BE$9)</f>
        <v>0</v>
      </c>
      <c r="BF234" s="37">
        <v>0</v>
      </c>
      <c r="BG234" s="39">
        <f>(BF234/12*2*$E234*$G234*$I234*$M234*BG$9)+(BF234/12*10*$F234*$G234*$I234*$M234*BG$9)</f>
        <v>0</v>
      </c>
      <c r="BH234" s="60">
        <v>0</v>
      </c>
      <c r="BI234" s="36">
        <f>(BH234/12*2*$E234*$G234*$I234*$M234*BI$9)+(BH234/12*10*$F234*$G234*$I234*$M234*BI$9)</f>
        <v>0</v>
      </c>
      <c r="BJ234" s="36">
        <v>10</v>
      </c>
      <c r="BK234" s="36">
        <f>(BJ234/12*2*$E234*$G234*$I234*$M234*BK$9)+(BJ234/12*10*$F234*$G234*$I234*$M234*BK$9)</f>
        <v>246809.02400000003</v>
      </c>
      <c r="BL234" s="37">
        <v>0</v>
      </c>
      <c r="BM234" s="36">
        <f>(BL234/12*2*$E234*$G234*$I234*$M234*BM$9)+(BL234/12*10*$F234*$G234*$I234*$M234*BM$9)</f>
        <v>0</v>
      </c>
      <c r="BN234" s="37">
        <v>0</v>
      </c>
      <c r="BO234" s="36">
        <f>(BN234/12*10*$F234*$G234*$I234*$M234*BO$9)</f>
        <v>0</v>
      </c>
      <c r="BP234" s="39"/>
      <c r="BQ234" s="36"/>
      <c r="BR234" s="58">
        <v>20</v>
      </c>
      <c r="BS234" s="36">
        <f>(BR234/12*10*$F234*$G234*$I234*$M234*BS$9)</f>
        <v>414641.92000000004</v>
      </c>
      <c r="BT234" s="37"/>
      <c r="BU234" s="36">
        <f>(BT234/12*2*$E234*$G234*$I234*$M234*BU$9)+(BT234/12*10*$F234*$G234*$I234*$M234*BU$9)</f>
        <v>0</v>
      </c>
      <c r="BV234" s="36">
        <v>4</v>
      </c>
      <c r="BW234" s="36">
        <f>(BV234/12*2*$E234*$G234*$I234*$M234*BW$9)+(BV234/12*10*$F234*$G234*$I234*$M234*BW$9)</f>
        <v>98723.609599999996</v>
      </c>
      <c r="BX234" s="37">
        <v>0</v>
      </c>
      <c r="BY234" s="36">
        <f>(BX234/12*2*$E234*$G234*$I234*$M234*BY$9)+(BX234/12*10*$F234*$G234*$I234*$M234*BY$9)</f>
        <v>0</v>
      </c>
      <c r="BZ234" s="37"/>
      <c r="CA234" s="36">
        <f>(BZ234/12*2*$E234*$G234*$I234*$M234*CA$9)+(BZ234/12*10*$F234*$G234*$I234*$M234*CA$9)</f>
        <v>0</v>
      </c>
      <c r="CB234" s="37"/>
      <c r="CC234" s="36">
        <f>(CB234/12*2*$E234*$G234*$I234*$M234*CC$9)+(CB234/12*10*$F234*$G234*$I234*$M234*CC$9)</f>
        <v>0</v>
      </c>
      <c r="CD234" s="37">
        <v>0</v>
      </c>
      <c r="CE234" s="36">
        <f>(CD234/12*2*$E234*$G234*$I234*$M234*CE$9)+(CD234/12*10*$F234*$G234*$I234*$M234*CE$9)</f>
        <v>0</v>
      </c>
      <c r="CF234" s="36"/>
      <c r="CG234" s="36">
        <f>(CF234/12*2*$E234*$G234*$I234*$N234*CG$9)+(CF234/12*10*$F234*$G234*$I234*$N234*CG$9)</f>
        <v>0</v>
      </c>
      <c r="CH234" s="58">
        <v>3</v>
      </c>
      <c r="CI234" s="36">
        <f>(CH234/12*2*$E234*$G234*$I234*$O234*$CI$9)+(CH234/12*10*$F234*$G234*$I234*$O234*$CI$9)</f>
        <v>113267.71279999998</v>
      </c>
      <c r="CJ234" s="36"/>
      <c r="CK234" s="41">
        <f>(CJ234/12*2*$E234*$G234*$I234*$M234)+(CJ234/12*10*$F234*$G234*$I234*$M234)</f>
        <v>0</v>
      </c>
      <c r="CL234" s="41"/>
      <c r="CM234" s="41"/>
      <c r="CN234" s="41"/>
      <c r="CO234" s="41"/>
      <c r="CP234" s="42">
        <f t="shared" ref="CP234:CQ236" si="300">SUM(R234+P234+T234+V234+AB234+Z234+X234+AF234+AD234+AH234+AJ234+BF234+BJ234+AL234+AT234+AV234+BT234+BV234+BR234+BX234+BZ234+BN234+AN234+AP234+AR234+BH234+BL234+AX234+AZ234+BB234+BD234+BP234+CB234+CD234+CF234+CH234+CJ234+CL234)</f>
        <v>37</v>
      </c>
      <c r="CQ234" s="42">
        <f t="shared" si="300"/>
        <v>873442.26640000008</v>
      </c>
    </row>
    <row r="235" spans="1:95" s="3" customFormat="1" ht="30" hidden="1" customHeight="1" x14ac:dyDescent="0.25">
      <c r="A235" s="54"/>
      <c r="B235" s="54">
        <v>156</v>
      </c>
      <c r="C235" s="55" t="s">
        <v>583</v>
      </c>
      <c r="D235" s="120" t="s">
        <v>584</v>
      </c>
      <c r="E235" s="110">
        <v>16026</v>
      </c>
      <c r="F235" s="110">
        <v>16828</v>
      </c>
      <c r="G235" s="33">
        <v>0.92</v>
      </c>
      <c r="H235" s="34"/>
      <c r="I235" s="35">
        <v>1</v>
      </c>
      <c r="J235" s="111"/>
      <c r="K235" s="35"/>
      <c r="L235" s="97">
        <v>1.4</v>
      </c>
      <c r="M235" s="97">
        <v>1.68</v>
      </c>
      <c r="N235" s="97">
        <v>2.23</v>
      </c>
      <c r="O235" s="97">
        <v>2.57</v>
      </c>
      <c r="P235" s="36"/>
      <c r="Q235" s="36">
        <f>SUM(P235/12*2*$E235*$G235*$I235*$L235*$Q$9)+(P235/12*10*$F235*$G235*$I235*$L235*$Q$9)</f>
        <v>0</v>
      </c>
      <c r="R235" s="37">
        <v>0</v>
      </c>
      <c r="S235" s="36">
        <f>SUM(R235/12*2*$E235*$G235*$I235*$L235*S$9)+(R235/12*10*$F235*$G235*$I235*$L235*S$9)</f>
        <v>0</v>
      </c>
      <c r="T235" s="36">
        <v>0</v>
      </c>
      <c r="U235" s="36">
        <f>SUM(T235/12*2*$E235*$G235*$I235*$L235*U$9)+(T235/12*10*$F235*$G235*$I235*$L235*U$9)</f>
        <v>0</v>
      </c>
      <c r="V235" s="37">
        <v>0</v>
      </c>
      <c r="W235" s="36">
        <f>SUM(V235/12*2*$E235*$G235*$I235*$L235*$W$9)+(V235/12*10*$F235*$G235*$I235*$L235*$W$9)</f>
        <v>0</v>
      </c>
      <c r="X235" s="37">
        <v>0</v>
      </c>
      <c r="Y235" s="38">
        <f>SUM(X235/12*2*$E235*$G235*$I235*$L235*Y$9)+(X235/12*10*$F235*$G235*$I235*$L235*Y$9)</f>
        <v>0</v>
      </c>
      <c r="Z235" s="37"/>
      <c r="AA235" s="36"/>
      <c r="AB235" s="37"/>
      <c r="AC235" s="36">
        <f>(AB235/12*2*$E235*$G235*$I235*$L235)+(AB235/12*10*$F235*$G235*$I235*$L235)</f>
        <v>0</v>
      </c>
      <c r="AD235" s="37">
        <v>0</v>
      </c>
      <c r="AE235" s="36">
        <f>(AD235/12*2*$E235*$G235*$I235*$L235*AE$9)+(AD235/12*10*$F235*$G235*$I235*$L235*AE$9)</f>
        <v>0</v>
      </c>
      <c r="AF235" s="37">
        <v>0</v>
      </c>
      <c r="AG235" s="36">
        <f>(AF235/12*2*$E235*$G235*$I235*$M235*AG$9)+(AF235/12*10*$F235*$G235*$I235*$M235*AG$9)</f>
        <v>0</v>
      </c>
      <c r="AH235" s="37">
        <v>0</v>
      </c>
      <c r="AI235" s="36">
        <f>(AH235/12*2*$E235*$G235*$I235*$M235*$AI$9)+(AH235/12*10*$F235*$G235*$I235*$M235*$AI$9)</f>
        <v>0</v>
      </c>
      <c r="AJ235" s="36">
        <v>0</v>
      </c>
      <c r="AK235" s="36">
        <v>0</v>
      </c>
      <c r="AL235" s="37"/>
      <c r="AM235" s="36">
        <f>SUM(AL235/12*2*$E235*$G235*$I235*$L235*AM$9)+(AL235/12*10*$F235*$G235*$I235*$L235*AM$9)</f>
        <v>0</v>
      </c>
      <c r="AN235" s="37">
        <v>0</v>
      </c>
      <c r="AO235" s="36">
        <f>SUM(AN235/12*2*$E235*$G235*$I235*$L235*$AE$9)+(AN235/12*10*$F235*$G235*$I235*$L235*$AE$9)</f>
        <v>0</v>
      </c>
      <c r="AP235" s="37"/>
      <c r="AQ235" s="36"/>
      <c r="AR235" s="37"/>
      <c r="AS235" s="36">
        <f>SUM(AR235/12*2*$E235*$G235*$I235*$L235*AS$9)+(AR235/12*10*$F235*$G235*$I235*$L235*AS$9)</f>
        <v>0</v>
      </c>
      <c r="AT235" s="37">
        <v>0</v>
      </c>
      <c r="AU235" s="36">
        <f>SUM(AT235/12*2*$E235*$G235*$I235*$L235*$AI$9)+(AT235/12*10*$F235*$G235*$I235*$L235*$AI$9)</f>
        <v>0</v>
      </c>
      <c r="AV235" s="37">
        <v>0</v>
      </c>
      <c r="AW235" s="36">
        <f>SUM(AV235/12*2*$E235*$G235*$I235*$L235*AW$9)+(AV235/12*10*$F235*$G235*$I235*$L235*AW$9)</f>
        <v>0</v>
      </c>
      <c r="AX235" s="37">
        <v>0</v>
      </c>
      <c r="AY235" s="36">
        <f>SUM(AX235/12*2*$E235*$G235*$I235*$L235*AY$9)+(AX235/12*10*$F235*$G235*$I235*$L235*AY$9)</f>
        <v>0</v>
      </c>
      <c r="AZ235" s="37">
        <v>0</v>
      </c>
      <c r="BA235" s="36">
        <f>SUM(AZ235/12*2*$E235*$G235*$I235*$L235*BA$9)+(AZ235/12*10*$F235*$G235*$I235*$L235*BA$9)</f>
        <v>0</v>
      </c>
      <c r="BB235" s="37">
        <v>0</v>
      </c>
      <c r="BC235" s="36">
        <f>SUM(BB235/12*2*$E235*$G235*$I235*$L235*BC$9)+(BB235/12*10*$F235*$G235*$I235*$L235*BC$9)</f>
        <v>0</v>
      </c>
      <c r="BD235" s="37"/>
      <c r="BE235" s="36">
        <f>SUM(BD235/12*2*$E235*$G235*$I235*$L235*BE$9)+(BD235/12*10*$F235*$G235*$I235*$L235*BE$9)</f>
        <v>0</v>
      </c>
      <c r="BF235" s="37">
        <v>0</v>
      </c>
      <c r="BG235" s="39">
        <f>(BF235/12*2*$E235*$G235*$I235*$M235*BG$9)+(BF235/12*10*$F235*$G235*$I235*$M235*BG$9)</f>
        <v>0</v>
      </c>
      <c r="BH235" s="60">
        <v>0</v>
      </c>
      <c r="BI235" s="36">
        <f>(BH235/12*2*$E235*$G235*$I235*$M235*BI$9)+(BH235/12*10*$F235*$G235*$I235*$M235*BI$9)</f>
        <v>0</v>
      </c>
      <c r="BJ235" s="36">
        <v>10</v>
      </c>
      <c r="BK235" s="36">
        <f>(BJ235/12*2*$E235*$G235*$I235*$M235*BK$9)+(BJ235/12*10*$F235*$G235*$I235*$M235*BK$9)</f>
        <v>258027.61600000001</v>
      </c>
      <c r="BL235" s="37">
        <v>0</v>
      </c>
      <c r="BM235" s="36">
        <f>(BL235/12*2*$E235*$G235*$I235*$M235*BM$9)+(BL235/12*10*$F235*$G235*$I235*$M235*BM$9)</f>
        <v>0</v>
      </c>
      <c r="BN235" s="37">
        <v>0</v>
      </c>
      <c r="BO235" s="36">
        <f>(BN235/12*10*$F235*$G235*$I235*$M235*BO$9)</f>
        <v>0</v>
      </c>
      <c r="BP235" s="39"/>
      <c r="BQ235" s="36"/>
      <c r="BR235" s="36">
        <v>30</v>
      </c>
      <c r="BS235" s="36">
        <f>(BR235/12*10*$F235*$G235*$I235*$M235*BS$9)</f>
        <v>650233.91999999993</v>
      </c>
      <c r="BT235" s="37">
        <v>0</v>
      </c>
      <c r="BU235" s="36">
        <f>(BT235/12*2*$E235*$G235*$I235*$M235*BU$9)+(BT235/12*10*$F235*$G235*$I235*$M235*BU$9)</f>
        <v>0</v>
      </c>
      <c r="BV235" s="36">
        <v>0</v>
      </c>
      <c r="BW235" s="36">
        <f>(BV235/12*2*$E235*$G235*$I235*$M235*BW$9)+(BV235/12*10*$F235*$G235*$I235*$M235*BW$9)</f>
        <v>0</v>
      </c>
      <c r="BX235" s="37">
        <v>0</v>
      </c>
      <c r="BY235" s="36">
        <f>(BX235/12*2*$E235*$G235*$I235*$M235*BY$9)+(BX235/12*10*$F235*$G235*$I235*$M235*BY$9)</f>
        <v>0</v>
      </c>
      <c r="BZ235" s="37"/>
      <c r="CA235" s="36">
        <f>(BZ235/12*2*$E235*$G235*$I235*$M235*CA$9)+(BZ235/12*10*$F235*$G235*$I235*$M235*CA$9)</f>
        <v>0</v>
      </c>
      <c r="CB235" s="37"/>
      <c r="CC235" s="36">
        <f>(CB235/12*2*$E235*$G235*$I235*$M235*CC$9)+(CB235/12*10*$F235*$G235*$I235*$M235*CC$9)</f>
        <v>0</v>
      </c>
      <c r="CD235" s="37">
        <v>0</v>
      </c>
      <c r="CE235" s="36">
        <f>(CD235/12*2*$E235*$G235*$I235*$M235*CE$9)+(CD235/12*10*$F235*$G235*$I235*$M235*CE$9)</f>
        <v>0</v>
      </c>
      <c r="CF235" s="36">
        <v>0</v>
      </c>
      <c r="CG235" s="36">
        <f>(CF235/12*2*$E235*$G235*$I235*$N235*CG$9)+(CF235/12*10*$F235*$G235*$I235*$N235*CG$9)</f>
        <v>0</v>
      </c>
      <c r="CH235" s="36">
        <v>0</v>
      </c>
      <c r="CI235" s="36">
        <f>(CH235/12*2*$E235*$G235*$I235*$O235*$CI$9)+(CH235/12*10*$F235*$G235*$I235*$O235*$CI$9)</f>
        <v>0</v>
      </c>
      <c r="CJ235" s="36"/>
      <c r="CK235" s="41">
        <f>(CJ235/12*2*$E235*$G235*$I235*$M235)+(CJ235/12*10*$F235*$G235*$I235*$M235)</f>
        <v>0</v>
      </c>
      <c r="CL235" s="41"/>
      <c r="CM235" s="41"/>
      <c r="CN235" s="41"/>
      <c r="CO235" s="41"/>
      <c r="CP235" s="42">
        <f t="shared" si="300"/>
        <v>40</v>
      </c>
      <c r="CQ235" s="42">
        <f t="shared" si="300"/>
        <v>908261.53599999996</v>
      </c>
    </row>
    <row r="236" spans="1:95" s="3" customFormat="1" ht="30" hidden="1" customHeight="1" x14ac:dyDescent="0.25">
      <c r="A236" s="54"/>
      <c r="B236" s="54">
        <v>157</v>
      </c>
      <c r="C236" s="55" t="s">
        <v>585</v>
      </c>
      <c r="D236" s="120" t="s">
        <v>586</v>
      </c>
      <c r="E236" s="110">
        <v>16026</v>
      </c>
      <c r="F236" s="110">
        <v>16828</v>
      </c>
      <c r="G236" s="33">
        <v>1.56</v>
      </c>
      <c r="H236" s="34"/>
      <c r="I236" s="35">
        <v>1</v>
      </c>
      <c r="J236" s="111"/>
      <c r="K236" s="35"/>
      <c r="L236" s="97">
        <v>1.4</v>
      </c>
      <c r="M236" s="97">
        <v>1.68</v>
      </c>
      <c r="N236" s="97">
        <v>2.23</v>
      </c>
      <c r="O236" s="97">
        <v>2.57</v>
      </c>
      <c r="P236" s="36"/>
      <c r="Q236" s="36">
        <f>SUM(P236/12*2*$E236*$G236*$I236*$L236*$Q$9)+(P236/12*10*$F236*$G236*$I236*$L236*$Q$9)</f>
        <v>0</v>
      </c>
      <c r="R236" s="37">
        <v>0</v>
      </c>
      <c r="S236" s="36">
        <f>SUM(R236/12*2*$E236*$G236*$I236*$L236*S$9)+(R236/12*10*$F236*$G236*$I236*$L236*S$9)</f>
        <v>0</v>
      </c>
      <c r="T236" s="36">
        <v>0</v>
      </c>
      <c r="U236" s="36">
        <f>SUM(T236/12*2*$E236*$G236*$I236*$L236*U$9)+(T236/12*10*$F236*$G236*$I236*$L236*U$9)</f>
        <v>0</v>
      </c>
      <c r="V236" s="37">
        <v>0</v>
      </c>
      <c r="W236" s="36">
        <f>SUM(V236/12*2*$E236*$G236*$I236*$L236*$W$9)+(V236/12*10*$F236*$G236*$I236*$L236*$W$9)</f>
        <v>0</v>
      </c>
      <c r="X236" s="37">
        <v>0</v>
      </c>
      <c r="Y236" s="38">
        <f>SUM(X236/12*2*$E236*$G236*$I236*$L236*Y$9)+(X236/12*10*$F236*$G236*$I236*$L236*Y$9)</f>
        <v>0</v>
      </c>
      <c r="Z236" s="37"/>
      <c r="AA236" s="36"/>
      <c r="AB236" s="37">
        <v>0</v>
      </c>
      <c r="AC236" s="36">
        <f>(AB236/12*2*$E236*$G236*$I236*$L236)+(AB236/12*10*$F236*$G236*$I236*$L236)</f>
        <v>0</v>
      </c>
      <c r="AD236" s="37">
        <v>0</v>
      </c>
      <c r="AE236" s="36">
        <f>(AD236/12*2*$E236*$G236*$I236*$L236*AE$9)+(AD236/12*10*$F236*$G236*$I236*$L236*AE$9)</f>
        <v>0</v>
      </c>
      <c r="AF236" s="37">
        <v>0</v>
      </c>
      <c r="AG236" s="36">
        <f>(AF236/12*2*$E236*$G236*$I236*$M236*AG$9)+(AF236/12*10*$F236*$G236*$I236*$M236*AG$9)</f>
        <v>0</v>
      </c>
      <c r="AH236" s="37">
        <v>0</v>
      </c>
      <c r="AI236" s="36">
        <f>(AH236/12*2*$E236*$G236*$I236*$M236*$AI$9)+(AH236/12*10*$F236*$G236*$I236*$M236*$AI$9)</f>
        <v>0</v>
      </c>
      <c r="AJ236" s="36">
        <v>0</v>
      </c>
      <c r="AK236" s="36">
        <v>0</v>
      </c>
      <c r="AL236" s="37"/>
      <c r="AM236" s="36">
        <f>SUM(AL236/12*2*$E236*$G236*$I236*$L236*AM$9)+(AL236/12*10*$F236*$G236*$I236*$L236*AM$9)</f>
        <v>0</v>
      </c>
      <c r="AN236" s="37">
        <v>0</v>
      </c>
      <c r="AO236" s="36">
        <f>SUM(AN236/12*2*$E236*$G236*$I236*$L236*$AE$9)+(AN236/12*10*$F236*$G236*$I236*$L236*$AE$9)</f>
        <v>0</v>
      </c>
      <c r="AP236" s="37"/>
      <c r="AQ236" s="36"/>
      <c r="AR236" s="37"/>
      <c r="AS236" s="36">
        <f>SUM(AR236/12*2*$E236*$G236*$I236*$L236*AS$9)+(AR236/12*10*$F236*$G236*$I236*$L236*AS$9)</f>
        <v>0</v>
      </c>
      <c r="AT236" s="37">
        <v>0</v>
      </c>
      <c r="AU236" s="36">
        <f>SUM(AT236/12*2*$E236*$G236*$I236*$L236*$AI$9)+(AT236/12*10*$F236*$G236*$I236*$L236*$AI$9)</f>
        <v>0</v>
      </c>
      <c r="AV236" s="37">
        <v>0</v>
      </c>
      <c r="AW236" s="36">
        <f>SUM(AV236/12*2*$E236*$G236*$I236*$L236*AW$9)+(AV236/12*10*$F236*$G236*$I236*$L236*AW$9)</f>
        <v>0</v>
      </c>
      <c r="AX236" s="37">
        <v>0</v>
      </c>
      <c r="AY236" s="36">
        <f>SUM(AX236/12*2*$E236*$G236*$I236*$L236*AY$9)+(AX236/12*10*$F236*$G236*$I236*$L236*AY$9)</f>
        <v>0</v>
      </c>
      <c r="AZ236" s="37">
        <v>0</v>
      </c>
      <c r="BA236" s="36">
        <f>SUM(AZ236/12*2*$E236*$G236*$I236*$L236*BA$9)+(AZ236/12*10*$F236*$G236*$I236*$L236*BA$9)</f>
        <v>0</v>
      </c>
      <c r="BB236" s="37">
        <v>0</v>
      </c>
      <c r="BC236" s="36">
        <f>SUM(BB236/12*2*$E236*$G236*$I236*$L236*BC$9)+(BB236/12*10*$F236*$G236*$I236*$L236*BC$9)</f>
        <v>0</v>
      </c>
      <c r="BD236" s="37"/>
      <c r="BE236" s="36">
        <f>SUM(BD236/12*2*$E236*$G236*$I236*$L236*BE$9)+(BD236/12*10*$F236*$G236*$I236*$L236*BE$9)</f>
        <v>0</v>
      </c>
      <c r="BF236" s="37">
        <v>0</v>
      </c>
      <c r="BG236" s="39">
        <f>(BF236/12*2*$E236*$G236*$I236*$M236*BG$9)+(BF236/12*10*$F236*$G236*$I236*$M236*BG$9)</f>
        <v>0</v>
      </c>
      <c r="BH236" s="60">
        <v>0</v>
      </c>
      <c r="BI236" s="36">
        <f>(BH236/12*2*$E236*$G236*$I236*$M236*BI$9)+(BH236/12*10*$F236*$G236*$I236*$M236*BI$9)</f>
        <v>0</v>
      </c>
      <c r="BJ236" s="36">
        <v>3</v>
      </c>
      <c r="BK236" s="36">
        <f>(BJ236/12*2*$E236*$G236*$I236*$M236*BK$9)+(BJ236/12*10*$F236*$G236*$I236*$M236*BK$9)</f>
        <v>131257.5264</v>
      </c>
      <c r="BL236" s="37">
        <v>0</v>
      </c>
      <c r="BM236" s="36">
        <f>(BL236/12*2*$E236*$G236*$I236*$M236*BM$9)+(BL236/12*10*$F236*$G236*$I236*$M236*BM$9)</f>
        <v>0</v>
      </c>
      <c r="BN236" s="37">
        <v>0</v>
      </c>
      <c r="BO236" s="36">
        <f>(BN236/12*10*$F236*$G236*$I236*$M236*BO$9)</f>
        <v>0</v>
      </c>
      <c r="BP236" s="39"/>
      <c r="BQ236" s="36"/>
      <c r="BR236" s="36">
        <v>10</v>
      </c>
      <c r="BS236" s="36">
        <f>(BR236/12*10*$F236*$G236*$I236*$M236*BS$9)</f>
        <v>367523.52</v>
      </c>
      <c r="BT236" s="37">
        <v>0</v>
      </c>
      <c r="BU236" s="36">
        <f>(BT236/12*2*$E236*$G236*$I236*$M236*BU$9)+(BT236/12*10*$F236*$G236*$I236*$M236*BU$9)</f>
        <v>0</v>
      </c>
      <c r="BV236" s="36">
        <v>0</v>
      </c>
      <c r="BW236" s="36">
        <f>(BV236/12*2*$E236*$G236*$I236*$M236*BW$9)+(BV236/12*10*$F236*$G236*$I236*$M236*BW$9)</f>
        <v>0</v>
      </c>
      <c r="BX236" s="37">
        <v>0</v>
      </c>
      <c r="BY236" s="36">
        <f>(BX236/12*2*$E236*$G236*$I236*$M236*BY$9)+(BX236/12*10*$F236*$G236*$I236*$M236*BY$9)</f>
        <v>0</v>
      </c>
      <c r="BZ236" s="37"/>
      <c r="CA236" s="36">
        <f>(BZ236/12*2*$E236*$G236*$I236*$M236*CA$9)+(BZ236/12*10*$F236*$G236*$I236*$M236*CA$9)</f>
        <v>0</v>
      </c>
      <c r="CB236" s="37"/>
      <c r="CC236" s="36">
        <f>(CB236/12*2*$E236*$G236*$I236*$M236*CC$9)+(CB236/12*10*$F236*$G236*$I236*$M236*CC$9)</f>
        <v>0</v>
      </c>
      <c r="CD236" s="37">
        <v>0</v>
      </c>
      <c r="CE236" s="36">
        <f>(CD236/12*2*$E236*$G236*$I236*$M236*CE$9)+(CD236/12*10*$F236*$G236*$I236*$M236*CE$9)</f>
        <v>0</v>
      </c>
      <c r="CF236" s="36">
        <v>0</v>
      </c>
      <c r="CG236" s="36">
        <f>(CF236/12*2*$E236*$G236*$I236*$N236*CG$9)+(CF236/12*10*$F236*$G236*$I236*$N236*CG$9)</f>
        <v>0</v>
      </c>
      <c r="CH236" s="36">
        <v>0</v>
      </c>
      <c r="CI236" s="36">
        <f>(CH236/12*2*$E236*$G236*$I236*$O236*$CI$9)+(CH236/12*10*$F236*$G236*$I236*$O236*$CI$9)</f>
        <v>0</v>
      </c>
      <c r="CJ236" s="36"/>
      <c r="CK236" s="41">
        <f>(CJ236/12*2*$E236*$G236*$I236*$M236)+(CJ236/12*10*$F236*$G236*$I236*$M236)</f>
        <v>0</v>
      </c>
      <c r="CL236" s="41"/>
      <c r="CM236" s="41"/>
      <c r="CN236" s="41"/>
      <c r="CO236" s="41"/>
      <c r="CP236" s="42">
        <f t="shared" si="300"/>
        <v>13</v>
      </c>
      <c r="CQ236" s="42">
        <f t="shared" si="300"/>
        <v>498781.04639999999</v>
      </c>
    </row>
    <row r="237" spans="1:95" ht="18.75" hidden="1" customHeight="1" x14ac:dyDescent="0.25">
      <c r="A237" s="124">
        <v>35</v>
      </c>
      <c r="B237" s="124"/>
      <c r="C237" s="149" t="s">
        <v>587</v>
      </c>
      <c r="D237" s="141" t="s">
        <v>588</v>
      </c>
      <c r="E237" s="110">
        <v>16026</v>
      </c>
      <c r="F237" s="134">
        <v>16828</v>
      </c>
      <c r="G237" s="138">
        <v>1.23</v>
      </c>
      <c r="H237" s="136"/>
      <c r="I237" s="128"/>
      <c r="J237" s="129"/>
      <c r="K237" s="29"/>
      <c r="L237" s="97">
        <v>1.4</v>
      </c>
      <c r="M237" s="97">
        <v>1.68</v>
      </c>
      <c r="N237" s="97">
        <v>2.23</v>
      </c>
      <c r="O237" s="97">
        <v>2.57</v>
      </c>
      <c r="P237" s="139">
        <f>SUM(P238:P241)</f>
        <v>36</v>
      </c>
      <c r="Q237" s="139">
        <f t="shared" ref="Q237:BH237" si="301">SUM(Q238:Q241)</f>
        <v>1045998.9679999999</v>
      </c>
      <c r="R237" s="139">
        <f t="shared" si="301"/>
        <v>0</v>
      </c>
      <c r="S237" s="139">
        <f t="shared" si="301"/>
        <v>0</v>
      </c>
      <c r="T237" s="139">
        <f t="shared" si="301"/>
        <v>0</v>
      </c>
      <c r="U237" s="139">
        <f t="shared" si="301"/>
        <v>0</v>
      </c>
      <c r="V237" s="139">
        <f t="shared" si="301"/>
        <v>0</v>
      </c>
      <c r="W237" s="139">
        <f t="shared" si="301"/>
        <v>0</v>
      </c>
      <c r="X237" s="139">
        <f t="shared" si="301"/>
        <v>0</v>
      </c>
      <c r="Y237" s="139">
        <f t="shared" si="301"/>
        <v>0</v>
      </c>
      <c r="Z237" s="139">
        <f t="shared" si="301"/>
        <v>0</v>
      </c>
      <c r="AA237" s="139">
        <f t="shared" si="301"/>
        <v>0</v>
      </c>
      <c r="AB237" s="139">
        <f t="shared" si="301"/>
        <v>0</v>
      </c>
      <c r="AC237" s="139">
        <f t="shared" si="301"/>
        <v>0</v>
      </c>
      <c r="AD237" s="139">
        <f t="shared" si="301"/>
        <v>5</v>
      </c>
      <c r="AE237" s="139">
        <f t="shared" si="301"/>
        <v>120908.34000000003</v>
      </c>
      <c r="AF237" s="139">
        <f t="shared" si="301"/>
        <v>0</v>
      </c>
      <c r="AG237" s="139">
        <f t="shared" si="301"/>
        <v>0</v>
      </c>
      <c r="AH237" s="139">
        <f>SUM(AH238:AH241)</f>
        <v>15</v>
      </c>
      <c r="AI237" s="139">
        <f t="shared" si="301"/>
        <v>435270.02399999998</v>
      </c>
      <c r="AJ237" s="139">
        <v>34</v>
      </c>
      <c r="AK237" s="139">
        <v>986707.41999999969</v>
      </c>
      <c r="AL237" s="139">
        <f t="shared" si="301"/>
        <v>0</v>
      </c>
      <c r="AM237" s="139">
        <f t="shared" si="301"/>
        <v>0</v>
      </c>
      <c r="AN237" s="139">
        <f t="shared" si="301"/>
        <v>0</v>
      </c>
      <c r="AO237" s="139">
        <f t="shared" si="301"/>
        <v>0</v>
      </c>
      <c r="AP237" s="139">
        <f t="shared" si="301"/>
        <v>0</v>
      </c>
      <c r="AQ237" s="139">
        <f t="shared" si="301"/>
        <v>0</v>
      </c>
      <c r="AR237" s="139">
        <f t="shared" si="301"/>
        <v>0</v>
      </c>
      <c r="AS237" s="139">
        <f t="shared" si="301"/>
        <v>0</v>
      </c>
      <c r="AT237" s="139">
        <f t="shared" si="301"/>
        <v>0</v>
      </c>
      <c r="AU237" s="139">
        <f t="shared" si="301"/>
        <v>0</v>
      </c>
      <c r="AV237" s="139">
        <f t="shared" si="301"/>
        <v>0</v>
      </c>
      <c r="AW237" s="139">
        <f t="shared" si="301"/>
        <v>0</v>
      </c>
      <c r="AX237" s="139">
        <f t="shared" si="301"/>
        <v>50</v>
      </c>
      <c r="AY237" s="139">
        <f t="shared" si="301"/>
        <v>1209083.3999999999</v>
      </c>
      <c r="AZ237" s="139">
        <f t="shared" si="301"/>
        <v>0</v>
      </c>
      <c r="BA237" s="139">
        <f>SUM(BA238:BA241)</f>
        <v>0</v>
      </c>
      <c r="BB237" s="139">
        <f t="shared" si="301"/>
        <v>0</v>
      </c>
      <c r="BC237" s="139">
        <f>SUM(BC238:BC241)</f>
        <v>0</v>
      </c>
      <c r="BD237" s="139">
        <f t="shared" si="301"/>
        <v>31</v>
      </c>
      <c r="BE237" s="139">
        <f t="shared" si="301"/>
        <v>749631.70799999998</v>
      </c>
      <c r="BF237" s="139">
        <f t="shared" si="301"/>
        <v>23</v>
      </c>
      <c r="BG237" s="139">
        <f t="shared" si="301"/>
        <v>667414.0368</v>
      </c>
      <c r="BH237" s="139">
        <f t="shared" si="301"/>
        <v>0</v>
      </c>
      <c r="BI237" s="139">
        <f>SUM(BI238:BI241)</f>
        <v>0</v>
      </c>
      <c r="BJ237" s="139">
        <f t="shared" ref="BJ237:BT237" si="302">SUM(BJ238:BJ241)</f>
        <v>9</v>
      </c>
      <c r="BK237" s="139">
        <f t="shared" si="302"/>
        <v>292744.62</v>
      </c>
      <c r="BL237" s="139">
        <f t="shared" si="302"/>
        <v>0</v>
      </c>
      <c r="BM237" s="139">
        <f t="shared" si="302"/>
        <v>0</v>
      </c>
      <c r="BN237" s="139">
        <f t="shared" si="302"/>
        <v>0</v>
      </c>
      <c r="BO237" s="139">
        <f>SUM(BO238:BO241)</f>
        <v>0</v>
      </c>
      <c r="BP237" s="139">
        <f t="shared" si="302"/>
        <v>0</v>
      </c>
      <c r="BQ237" s="139">
        <f>SUM(BQ238:BQ241)</f>
        <v>0</v>
      </c>
      <c r="BR237" s="139">
        <f t="shared" si="302"/>
        <v>25</v>
      </c>
      <c r="BS237" s="139">
        <f>SUM(BS238:BS241)</f>
        <v>604293.4800000001</v>
      </c>
      <c r="BT237" s="139">
        <f t="shared" si="302"/>
        <v>0</v>
      </c>
      <c r="BU237" s="139">
        <f>SUM(BU238:BU241)</f>
        <v>0</v>
      </c>
      <c r="BV237" s="139">
        <f t="shared" ref="BV237:CQ237" si="303">SUM(BV238:BV241)</f>
        <v>58</v>
      </c>
      <c r="BW237" s="139">
        <f t="shared" si="303"/>
        <v>1809374.5152</v>
      </c>
      <c r="BX237" s="139">
        <f t="shared" si="303"/>
        <v>18</v>
      </c>
      <c r="BY237" s="139">
        <f t="shared" si="303"/>
        <v>522324.02880000003</v>
      </c>
      <c r="BZ237" s="139">
        <f t="shared" si="303"/>
        <v>20</v>
      </c>
      <c r="CA237" s="139">
        <f t="shared" si="303"/>
        <v>580360.03200000001</v>
      </c>
      <c r="CB237" s="139">
        <f t="shared" si="303"/>
        <v>24</v>
      </c>
      <c r="CC237" s="139">
        <f t="shared" si="303"/>
        <v>283238.26</v>
      </c>
      <c r="CD237" s="139">
        <f t="shared" si="303"/>
        <v>0</v>
      </c>
      <c r="CE237" s="139">
        <f t="shared" si="303"/>
        <v>0</v>
      </c>
      <c r="CF237" s="139">
        <f t="shared" si="303"/>
        <v>5</v>
      </c>
      <c r="CG237" s="139">
        <f t="shared" si="303"/>
        <v>192589.71300000002</v>
      </c>
      <c r="CH237" s="139">
        <f t="shared" si="303"/>
        <v>12</v>
      </c>
      <c r="CI237" s="139">
        <f t="shared" si="303"/>
        <v>532687.60080000001</v>
      </c>
      <c r="CJ237" s="139">
        <f t="shared" si="303"/>
        <v>0</v>
      </c>
      <c r="CK237" s="139">
        <f t="shared" si="303"/>
        <v>0</v>
      </c>
      <c r="CL237" s="139">
        <f t="shared" si="303"/>
        <v>0</v>
      </c>
      <c r="CM237" s="139">
        <f t="shared" si="303"/>
        <v>0</v>
      </c>
      <c r="CN237" s="139">
        <f t="shared" si="303"/>
        <v>0</v>
      </c>
      <c r="CO237" s="139">
        <f t="shared" si="303"/>
        <v>0</v>
      </c>
      <c r="CP237" s="139">
        <f t="shared" si="303"/>
        <v>365</v>
      </c>
      <c r="CQ237" s="139">
        <f t="shared" si="303"/>
        <v>10032626.146600001</v>
      </c>
    </row>
    <row r="238" spans="1:95" s="3" customFormat="1" ht="18.75" hidden="1" customHeight="1" x14ac:dyDescent="0.25">
      <c r="A238" s="54"/>
      <c r="B238" s="54">
        <v>158</v>
      </c>
      <c r="C238" s="55" t="s">
        <v>589</v>
      </c>
      <c r="D238" s="121" t="s">
        <v>590</v>
      </c>
      <c r="E238" s="110">
        <v>16026</v>
      </c>
      <c r="F238" s="110">
        <v>16828</v>
      </c>
      <c r="G238" s="33">
        <v>1.08</v>
      </c>
      <c r="H238" s="34"/>
      <c r="I238" s="35">
        <v>1</v>
      </c>
      <c r="J238" s="118">
        <v>0.95</v>
      </c>
      <c r="K238" s="35"/>
      <c r="L238" s="97">
        <v>1.4</v>
      </c>
      <c r="M238" s="97">
        <v>1.68</v>
      </c>
      <c r="N238" s="97">
        <v>2.23</v>
      </c>
      <c r="O238" s="97">
        <v>2.57</v>
      </c>
      <c r="P238" s="36">
        <v>16</v>
      </c>
      <c r="Q238" s="36">
        <f>SUM(P238/12*2*$E238*$G238*$I238*$L238*$Q$9)+(P238/12*10*$F238*$G238*$J238*$L238*$Q$9)</f>
        <v>386906.68799999997</v>
      </c>
      <c r="R238" s="37">
        <v>0</v>
      </c>
      <c r="S238" s="36">
        <f>SUM(R238/12*2*$E238*$G238*$I238*$L238*S$9)+(R238/12*10*$F238*$G238*$J238*$L238*S$9)</f>
        <v>0</v>
      </c>
      <c r="T238" s="36">
        <v>0</v>
      </c>
      <c r="U238" s="36">
        <f>SUM(T238/12*2*$E238*$G238*$I238*$L238*U$9)+(T238/12*10*$F238*$G238*$J238*$L238*U$9)</f>
        <v>0</v>
      </c>
      <c r="V238" s="37">
        <v>0</v>
      </c>
      <c r="W238" s="36">
        <f>SUM(V238/12*2*$E238*$G238*$I238*$L238*$W$9)+(V238/12*10*$F238*$G238*$J238*$L238*$W$9)</f>
        <v>0</v>
      </c>
      <c r="X238" s="37">
        <v>0</v>
      </c>
      <c r="Y238" s="38">
        <f>SUM(X238/12*2*$E238*$G238*$I238*$L238*Y$9)+(X238/12*10*$F238*$G238*$J238*$L238*Y$9)</f>
        <v>0</v>
      </c>
      <c r="Z238" s="37"/>
      <c r="AA238" s="36"/>
      <c r="AB238" s="36"/>
      <c r="AC238" s="36">
        <f>(AB238/12*2*$E238*$G238*$I238*$L238)+(AB238/12*10*$F238*$G238*$J238*$L238)</f>
        <v>0</v>
      </c>
      <c r="AD238" s="39">
        <v>5</v>
      </c>
      <c r="AE238" s="36">
        <f>(AD238/12*2*$E238*$G238*$I238*$L238*AE$9)+(AD238/12*10*$F238*$G238*$J238*$L238*AE$9)</f>
        <v>120908.34000000003</v>
      </c>
      <c r="AF238" s="37">
        <v>0</v>
      </c>
      <c r="AG238" s="36">
        <f>(AF238/12*2*$E238*$G238*$I238*$M238*AG$9)+(AF238/12*10*$F238*$G238*$J238*$M238*AG$9)</f>
        <v>0</v>
      </c>
      <c r="AH238" s="69">
        <v>15</v>
      </c>
      <c r="AI238" s="36">
        <f>(AH238/12*2*$E238*$G238*$I238*$M238*$AI$9)+(AH238/12*10*$F238*$G238*$J238*$M238*$AI$9)</f>
        <v>435270.02399999998</v>
      </c>
      <c r="AJ238" s="36">
        <v>34</v>
      </c>
      <c r="AK238" s="36">
        <v>986707.41999999969</v>
      </c>
      <c r="AL238" s="37"/>
      <c r="AM238" s="36">
        <f>SUM(AL238/12*2*$E238*$G238*$I238*$L238*AM$9)+(AL238/12*10*$F238*$G238*$J238*$L238*AM$9)</f>
        <v>0</v>
      </c>
      <c r="AN238" s="37">
        <v>0</v>
      </c>
      <c r="AO238" s="36">
        <f>SUM(AN238/12*2*$E238*$G238*$I238*$L238*$AE$9)+(AN238/12*10*$F238*$G238*$J238*$L238*$AE$9)</f>
        <v>0</v>
      </c>
      <c r="AP238" s="37"/>
      <c r="AQ238" s="36"/>
      <c r="AR238" s="37"/>
      <c r="AS238" s="36">
        <f>SUM(AR238/12*2*$E238*$G238*$I238*$L238*AS$9)+(AR238/12*10*$F238*$G238*$J238*$L238*AS$9)</f>
        <v>0</v>
      </c>
      <c r="AT238" s="37"/>
      <c r="AU238" s="36">
        <f>SUM(AT238/12*2*$E238*$G238*$I238*$L238*$AI$9)+(AT238/12*10*$F238*$G238*$J238*$L238*$AI$9)</f>
        <v>0</v>
      </c>
      <c r="AV238" s="36">
        <v>0</v>
      </c>
      <c r="AW238" s="36">
        <f>SUM(AV238/12*2*$E238*$G238*$I238*$L238*AW$9)+(AV238/12*10*$F238*$G238*$J238*$L238*AW$9)</f>
        <v>0</v>
      </c>
      <c r="AX238" s="36">
        <v>50</v>
      </c>
      <c r="AY238" s="36">
        <f>SUM(AX238/12*2*$E238*$G238*$I238*$L238*AY$9)+(AX238/12*10*$F238*$G238*$J238*$L238*AY$9)</f>
        <v>1209083.3999999999</v>
      </c>
      <c r="AZ238" s="37">
        <v>0</v>
      </c>
      <c r="BA238" s="36">
        <f>SUM(AZ238/12*2*$E238*$G238*$I238*$L238*BA$9)+(AZ238/12*10*$F238*$G238*$J238*$L238*BA$9)</f>
        <v>0</v>
      </c>
      <c r="BB238" s="36"/>
      <c r="BC238" s="36">
        <f>SUM(BB238/12*2*$E238*$G238*$I238*$L238*BC$9)+(BB238/12*10*$F238*$G238*$J238*$L238*BC$9)</f>
        <v>0</v>
      </c>
      <c r="BD238" s="36">
        <v>31</v>
      </c>
      <c r="BE238" s="36">
        <f>SUM(BD238/12*2*$E238*$G238*$I238*$L238*BE$9)+(BD238/12*10*$F238*$G238*$J238*$L238*BE$9)</f>
        <v>749631.70799999998</v>
      </c>
      <c r="BF238" s="36">
        <v>23</v>
      </c>
      <c r="BG238" s="39">
        <f>(BF238/12*2*$E238*$G238*$I238*$M238*BG$9)+(BF238/12*10*$F238*$G238*$J238*$M238*BG$9)</f>
        <v>667414.0368</v>
      </c>
      <c r="BH238" s="60"/>
      <c r="BI238" s="36">
        <f>(BH238/12*2*$E238*$G238*$I238*$M238*BI$9)+(BH238/12*10*$F238*$G238*$J238*$M238*BI$9)</f>
        <v>0</v>
      </c>
      <c r="BJ238" s="36">
        <v>6</v>
      </c>
      <c r="BK238" s="36">
        <f>(BJ238/12*2*$E238*$G238*$I238*$M238*BK$9)+(BJ238/12*10*$F238*$G238*$J238*$M238*BK$9)</f>
        <v>174108.00960000002</v>
      </c>
      <c r="BL238" s="37">
        <v>0</v>
      </c>
      <c r="BM238" s="36">
        <f>(BL238/12*2*$E238*$G238*$I238*$M238*BM$9)+(BL238/12*10*$F238*$G238*$J238*$M238*BM$9)</f>
        <v>0</v>
      </c>
      <c r="BN238" s="37"/>
      <c r="BO238" s="36">
        <f>(BN238/12*10*$F238*$G238*$J238*$M238*BO$9)</f>
        <v>0</v>
      </c>
      <c r="BP238" s="59"/>
      <c r="BQ238" s="36"/>
      <c r="BR238" s="58">
        <v>25</v>
      </c>
      <c r="BS238" s="36">
        <f>(BR238/12*10*$F238*$G238*$J238*$M238*BS$9)</f>
        <v>604293.4800000001</v>
      </c>
      <c r="BT238" s="37"/>
      <c r="BU238" s="36"/>
      <c r="BV238" s="36">
        <v>46</v>
      </c>
      <c r="BW238" s="36">
        <f>(BV238/12*2*$E238*$G238*$I238*$M238*BW$9)+(BV238/12*10*$F238*$G238*$J238*$M238*BW$9)</f>
        <v>1334828.0736</v>
      </c>
      <c r="BX238" s="58">
        <v>18</v>
      </c>
      <c r="BY238" s="36">
        <f>(BX238/12*2*$E238*$G238*$I238*$M238*BY$9)+(BX238/12*10*$F238*$G238*$J238*$M238*BY$9)</f>
        <v>522324.02880000003</v>
      </c>
      <c r="BZ238" s="58">
        <v>20</v>
      </c>
      <c r="CA238" s="36">
        <f>(BZ238/12*2*$E238*$G238*$I238*$M238*CA$9)+(BZ238/12*10*$F238*$G238*$J238*$M238*CA$9)</f>
        <v>580360.03200000001</v>
      </c>
      <c r="CB238" s="36">
        <v>24</v>
      </c>
      <c r="CC238" s="36">
        <v>283238.26</v>
      </c>
      <c r="CD238" s="37"/>
      <c r="CE238" s="36">
        <f>(CD238/12*2*$E238*$G238*$I238*$M238*CE$9)+(CD238/12*10*$F238*$G238*$J238*$M238*CE$9)</f>
        <v>0</v>
      </c>
      <c r="CF238" s="58">
        <v>5</v>
      </c>
      <c r="CG238" s="36">
        <f>(CF238/12*2*$E238*$G238*$I238*$N238*CG$9)+(CF238/12*10*$F238*$G238*$J238*$N238*CG$9)</f>
        <v>192589.71300000002</v>
      </c>
      <c r="CH238" s="58">
        <v>12</v>
      </c>
      <c r="CI238" s="36">
        <f>(CH238/12*2*$E238*$G238*$I238*$O238*$CI$9)+(CH238/12*10*$F238*$G238*$J238*$O238*$CI$9)</f>
        <v>532687.60080000001</v>
      </c>
      <c r="CJ238" s="36"/>
      <c r="CK238" s="41"/>
      <c r="CL238" s="41"/>
      <c r="CM238" s="41"/>
      <c r="CN238" s="41"/>
      <c r="CO238" s="41"/>
      <c r="CP238" s="42">
        <f t="shared" ref="CP238:CQ241" si="304">SUM(R238+P238+T238+V238+AB238+Z238+X238+AF238+AD238+AH238+AJ238+BF238+BJ238+AL238+AT238+AV238+BT238+BV238+BR238+BX238+BZ238+BN238+AN238+AP238+AR238+BH238+BL238+AX238+AZ238+BB238+BD238+BP238+CB238+CD238+CF238+CH238+CJ238+CL238)</f>
        <v>330</v>
      </c>
      <c r="CQ238" s="42">
        <f t="shared" si="304"/>
        <v>8780350.8146000002</v>
      </c>
    </row>
    <row r="239" spans="1:95" s="3" customFormat="1" ht="75" hidden="1" customHeight="1" x14ac:dyDescent="0.25">
      <c r="A239" s="54"/>
      <c r="B239" s="54">
        <v>159</v>
      </c>
      <c r="C239" s="55" t="s">
        <v>591</v>
      </c>
      <c r="D239" s="121" t="s">
        <v>592</v>
      </c>
      <c r="E239" s="110">
        <v>16026</v>
      </c>
      <c r="F239" s="110">
        <v>16828</v>
      </c>
      <c r="G239" s="33">
        <v>1.41</v>
      </c>
      <c r="H239" s="34"/>
      <c r="I239" s="35">
        <v>1</v>
      </c>
      <c r="J239" s="111"/>
      <c r="K239" s="35"/>
      <c r="L239" s="97">
        <v>1.4</v>
      </c>
      <c r="M239" s="97">
        <v>1.68</v>
      </c>
      <c r="N239" s="97">
        <v>2.23</v>
      </c>
      <c r="O239" s="97">
        <v>2.57</v>
      </c>
      <c r="P239" s="36">
        <v>20</v>
      </c>
      <c r="Q239" s="36">
        <f>SUM(P239/12*2*$E239*$G239*$I239*$L239*$Q$9)+(P239/12*10*$F239*$G239*$I239*$L239*$Q$9)</f>
        <v>659092.27999999991</v>
      </c>
      <c r="R239" s="37">
        <v>0</v>
      </c>
      <c r="S239" s="36">
        <f>SUM(R239/12*2*$E239*$G239*$I239*$L239*S$9)+(R239/12*10*$F239*$G239*$I239*$L239*S$9)</f>
        <v>0</v>
      </c>
      <c r="T239" s="36">
        <v>0</v>
      </c>
      <c r="U239" s="36">
        <f>SUM(T239/12*2*$E239*$G239*$I239*$L239*U$9)+(T239/12*10*$F239*$G239*$I239*$L239*U$9)</f>
        <v>0</v>
      </c>
      <c r="V239" s="37"/>
      <c r="W239" s="36">
        <f>SUM(V239/12*2*$E239*$G239*$I239*$L239*$W$9)+(V239/12*10*$F239*$G239*$I239*$L239*$W$9)</f>
        <v>0</v>
      </c>
      <c r="X239" s="37"/>
      <c r="Y239" s="38">
        <f>SUM(X239/12*2*$E239*$G239*$I239*$L239*Y$9)+(X239/12*10*$F239*$G239*$I239*$L239*Y$9)</f>
        <v>0</v>
      </c>
      <c r="Z239" s="37"/>
      <c r="AA239" s="36"/>
      <c r="AB239" s="37">
        <v>0</v>
      </c>
      <c r="AC239" s="36">
        <f>(AB239/12*2*$E239*$G239*$I239*$L239)+(AB239/12*10*$F239*$G239*$I239*$L239)</f>
        <v>0</v>
      </c>
      <c r="AD239" s="37">
        <v>0</v>
      </c>
      <c r="AE239" s="36">
        <f>(AD239/12*2*$E239*$G239*$I239*$L239*AE$9)+(AD239/12*10*$F239*$G239*$I239*$L239*AE$9)</f>
        <v>0</v>
      </c>
      <c r="AF239" s="37">
        <v>0</v>
      </c>
      <c r="AG239" s="36">
        <f>(AF239/12*2*$E239*$G239*$I239*$M239*AG$9)+(AF239/12*10*$F239*$G239*$I239*$M239*AG$9)</f>
        <v>0</v>
      </c>
      <c r="AH239" s="37"/>
      <c r="AI239" s="36">
        <f>(AH239/12*2*$E239*$G239*$I239*$M239*$AI$9)+(AH239/12*10*$F239*$G239*$I239*$M239*$AI$9)</f>
        <v>0</v>
      </c>
      <c r="AJ239" s="36">
        <v>0</v>
      </c>
      <c r="AK239" s="36">
        <v>0</v>
      </c>
      <c r="AL239" s="37"/>
      <c r="AM239" s="36">
        <f>SUM(AL239/12*2*$E239*$G239*$I239*$L239*AM$9)+(AL239/12*10*$F239*$G239*$I239*$L239*AM$9)</f>
        <v>0</v>
      </c>
      <c r="AN239" s="37">
        <v>0</v>
      </c>
      <c r="AO239" s="36">
        <f>SUM(AN239/12*2*$E239*$G239*$I239*$L239*$AE$9)+(AN239/12*10*$F239*$G239*$I239*$L239*$AE$9)</f>
        <v>0</v>
      </c>
      <c r="AP239" s="37"/>
      <c r="AQ239" s="36"/>
      <c r="AR239" s="37"/>
      <c r="AS239" s="36">
        <f>SUM(AR239/12*2*$E239*$G239*$I239*$L239*AS$9)+(AR239/12*10*$F239*$G239*$I239*$L239*AS$9)</f>
        <v>0</v>
      </c>
      <c r="AT239" s="37">
        <v>0</v>
      </c>
      <c r="AU239" s="36">
        <f>SUM(AT239/12*2*$E239*$G239*$I239*$L239*$AI$9)+(AT239/12*10*$F239*$G239*$I239*$L239*$AI$9)</f>
        <v>0</v>
      </c>
      <c r="AV239" s="37">
        <v>0</v>
      </c>
      <c r="AW239" s="36">
        <f>SUM(AV239/12*2*$E239*$G239*$I239*$L239*AW$9)+(AV239/12*10*$F239*$G239*$I239*$L239*AW$9)</f>
        <v>0</v>
      </c>
      <c r="AX239" s="37">
        <v>0</v>
      </c>
      <c r="AY239" s="36">
        <f>SUM(AX239/12*2*$E239*$G239*$I239*$L239*AY$9)+(AX239/12*10*$F239*$G239*$I239*$L239*AY$9)</f>
        <v>0</v>
      </c>
      <c r="AZ239" s="37">
        <v>0</v>
      </c>
      <c r="BA239" s="36">
        <f>SUM(AZ239/12*2*$E239*$G239*$I239*$L239*BA$9)+(AZ239/12*10*$F239*$G239*$I239*$L239*BA$9)</f>
        <v>0</v>
      </c>
      <c r="BB239" s="37">
        <v>0</v>
      </c>
      <c r="BC239" s="36">
        <f>SUM(BB239/12*2*$E239*$G239*$I239*$L239*BC$9)+(BB239/12*10*$F239*$G239*$I239*$L239*BC$9)</f>
        <v>0</v>
      </c>
      <c r="BD239" s="37"/>
      <c r="BE239" s="36">
        <f>SUM(BD239/12*2*$E239*$G239*$I239*$L239*BE$9)+(BD239/12*10*$F239*$G239*$I239*$L239*BE$9)</f>
        <v>0</v>
      </c>
      <c r="BF239" s="37">
        <v>0</v>
      </c>
      <c r="BG239" s="39">
        <f>(BF239/12*2*$E239*$G239*$I239*$M239*BG$9)+(BF239/12*10*$F239*$G239*$I239*$M239*BG$9)</f>
        <v>0</v>
      </c>
      <c r="BH239" s="60"/>
      <c r="BI239" s="36">
        <f>(BH239/12*2*$E239*$G239*$I239*$M239*BI$9)+(BH239/12*10*$F239*$G239*$I239*$M239*BI$9)</f>
        <v>0</v>
      </c>
      <c r="BJ239" s="36">
        <v>3</v>
      </c>
      <c r="BK239" s="36">
        <f>(BJ239/12*2*$E239*$G239*$I239*$M239*BK$9)+(BJ239/12*10*$F239*$G239*$I239*$M239*BK$9)</f>
        <v>118636.61040000001</v>
      </c>
      <c r="BL239" s="37"/>
      <c r="BM239" s="36">
        <f>(BL239/12*2*$E239*$G239*$I239*$M239*BM$9)+(BL239/12*10*$F239*$G239*$I239*$M239*BM$9)</f>
        <v>0</v>
      </c>
      <c r="BN239" s="37"/>
      <c r="BO239" s="36">
        <f>(BN239/12*10*$F239*$G239*$I239*$M239*BO$9)</f>
        <v>0</v>
      </c>
      <c r="BP239" s="39"/>
      <c r="BQ239" s="36"/>
      <c r="BR239" s="37">
        <v>0</v>
      </c>
      <c r="BS239" s="36">
        <f>(BR239/12*10*$F239*$G239*$I239*$M239*BS$9)</f>
        <v>0</v>
      </c>
      <c r="BT239" s="37"/>
      <c r="BU239" s="36">
        <f>(BT239/12*2*$E239*$G239*$I239*$M239*BU$9)+(BT239/12*10*$F239*$G239*$I239*$M239*BU$9)</f>
        <v>0</v>
      </c>
      <c r="BV239" s="36">
        <v>12</v>
      </c>
      <c r="BW239" s="36">
        <f>(BV239/12*2*$E239*$G239*$I239*$M239*BW$9)+(BV239/12*10*$F239*$G239*$I239*$M239*BW$9)</f>
        <v>474546.44160000002</v>
      </c>
      <c r="BX239" s="37"/>
      <c r="BY239" s="36">
        <f>(BX239/12*2*$E239*$G239*$I239*$M239*BY$9)+(BX239/12*10*$F239*$G239*$I239*$M239*BY$9)</f>
        <v>0</v>
      </c>
      <c r="BZ239" s="37"/>
      <c r="CA239" s="36">
        <f>(BZ239/12*2*$E239*$G239*$I239*$M239*CA$9)+(BZ239/12*10*$F239*$G239*$I239*$M239*CA$9)</f>
        <v>0</v>
      </c>
      <c r="CB239" s="37"/>
      <c r="CC239" s="36">
        <f>(CB239/12*2*$E239*$G239*$I239*$M239*CC$9)+(CB239/12*10*$F239*$G239*$I239*$M239*CC$9)</f>
        <v>0</v>
      </c>
      <c r="CD239" s="37">
        <v>0</v>
      </c>
      <c r="CE239" s="36">
        <f>(CD239/12*2*$E239*$G239*$I239*$M239*CE$9)+(CD239/12*10*$F239*$G239*$I239*$M239*CE$9)</f>
        <v>0</v>
      </c>
      <c r="CF239" s="37">
        <v>0</v>
      </c>
      <c r="CG239" s="36">
        <f>(CF239/12*2*$E239*$G239*$I239*$N239*CG$9)+(CF239/12*10*$F239*$G239*$I239*$N239*CG$9)</f>
        <v>0</v>
      </c>
      <c r="CH239" s="37"/>
      <c r="CI239" s="36">
        <f>(CH239/12*2*$E239*$G239*$I239*$O239*$CI$9)+(CH239/12*10*$F239*$G239*$I239*$O239*$CI$9)</f>
        <v>0</v>
      </c>
      <c r="CJ239" s="36"/>
      <c r="CK239" s="41">
        <f>(CJ239/12*2*$E239*$G239*$I239*$M239)+(CJ239/12*10*$F239*$G239*$I239*$M239)</f>
        <v>0</v>
      </c>
      <c r="CL239" s="41"/>
      <c r="CM239" s="41"/>
      <c r="CN239" s="41"/>
      <c r="CO239" s="41"/>
      <c r="CP239" s="42">
        <f t="shared" si="304"/>
        <v>35</v>
      </c>
      <c r="CQ239" s="42">
        <f t="shared" si="304"/>
        <v>1252275.3319999999</v>
      </c>
    </row>
    <row r="240" spans="1:95" s="3" customFormat="1" ht="21" hidden="1" customHeight="1" x14ac:dyDescent="0.25">
      <c r="A240" s="54"/>
      <c r="B240" s="54">
        <v>160</v>
      </c>
      <c r="C240" s="55" t="s">
        <v>593</v>
      </c>
      <c r="D240" s="121" t="s">
        <v>594</v>
      </c>
      <c r="E240" s="110">
        <v>16026</v>
      </c>
      <c r="F240" s="110">
        <v>16828</v>
      </c>
      <c r="G240" s="33">
        <v>2.58</v>
      </c>
      <c r="H240" s="34"/>
      <c r="I240" s="35">
        <v>1</v>
      </c>
      <c r="J240" s="111"/>
      <c r="K240" s="35"/>
      <c r="L240" s="97">
        <v>1.4</v>
      </c>
      <c r="M240" s="97">
        <v>1.68</v>
      </c>
      <c r="N240" s="97">
        <v>2.23</v>
      </c>
      <c r="O240" s="97">
        <v>2.57</v>
      </c>
      <c r="P240" s="36"/>
      <c r="Q240" s="36">
        <f>SUM(P240/12*2*$E240*$G240*$I240*$L240*$Q$9)+(P240/12*10*$F240*$G240*$I240*$L240*$Q$9)</f>
        <v>0</v>
      </c>
      <c r="R240" s="37"/>
      <c r="S240" s="36">
        <f>SUM(R240/12*2*$E240*$G240*$I240*$L240*S$9)+(R240/12*10*$F240*$G240*$I240*$L240*S$9)</f>
        <v>0</v>
      </c>
      <c r="T240" s="36"/>
      <c r="U240" s="36">
        <f>SUM(T240/12*2*$E240*$G240*$I240*$L240*U$9)+(T240/12*10*$F240*$G240*$I240*$L240*U$9)</f>
        <v>0</v>
      </c>
      <c r="V240" s="37"/>
      <c r="W240" s="36">
        <f>SUM(V240/12*2*$E240*$G240*$I240*$L240*$W$9)+(V240/12*10*$F240*$G240*$I240*$L240*$W$9)</f>
        <v>0</v>
      </c>
      <c r="X240" s="37"/>
      <c r="Y240" s="38">
        <f>SUM(X240/12*2*$E240*$G240*$I240*$L240*Y$9)+(X240/12*10*$F240*$G240*$I240*$L240*Y$9)</f>
        <v>0</v>
      </c>
      <c r="Z240" s="37"/>
      <c r="AA240" s="36"/>
      <c r="AB240" s="37"/>
      <c r="AC240" s="36">
        <f>(AB240/12*2*$E240*$G240*$I240*$L240)+(AB240/12*10*$F240*$G240*$I240*$L240)</f>
        <v>0</v>
      </c>
      <c r="AD240" s="37"/>
      <c r="AE240" s="36">
        <f>(AD240/12*2*$E240*$G240*$I240*$L240*AE$9)+(AD240/12*10*$F240*$G240*$I240*$L240*AE$9)</f>
        <v>0</v>
      </c>
      <c r="AF240" s="37"/>
      <c r="AG240" s="36">
        <f>(AF240/12*2*$E240*$G240*$I240*$M240*AG$9)+(AF240/12*10*$F240*$G240*$I240*$M240*AG$9)</f>
        <v>0</v>
      </c>
      <c r="AH240" s="37"/>
      <c r="AI240" s="36">
        <f>(AH240/12*2*$E240*$G240*$I240*$M240*$AI$9)+(AH240/12*10*$F240*$G240*$I240*$M240*$AI$9)</f>
        <v>0</v>
      </c>
      <c r="AJ240" s="36">
        <v>0</v>
      </c>
      <c r="AK240" s="36">
        <v>0</v>
      </c>
      <c r="AL240" s="37"/>
      <c r="AM240" s="36">
        <f>SUM(AL240/12*2*$E240*$G240*$I240*$L240*AM$9)+(AL240/12*10*$F240*$G240*$I240*$L240*AM$9)</f>
        <v>0</v>
      </c>
      <c r="AN240" s="37"/>
      <c r="AO240" s="36">
        <f>SUM(AN240/12*2*$E240*$G240*$I240*$L240*$AE$9)+(AN240/12*10*$F240*$G240*$I240*$L240*$AE$9)</f>
        <v>0</v>
      </c>
      <c r="AP240" s="37"/>
      <c r="AQ240" s="36"/>
      <c r="AR240" s="37"/>
      <c r="AS240" s="36">
        <f>SUM(AR240/12*2*$E240*$G240*$I240*$L240*AS$9)+(AR240/12*10*$F240*$G240*$I240*$L240*AS$9)</f>
        <v>0</v>
      </c>
      <c r="AT240" s="37"/>
      <c r="AU240" s="36">
        <f>SUM(AT240/12*2*$E240*$G240*$I240*$L240*$AI$9)+(AT240/12*10*$F240*$G240*$I240*$L240*$AI$9)</f>
        <v>0</v>
      </c>
      <c r="AV240" s="37"/>
      <c r="AW240" s="36">
        <f>SUM(AV240/12*2*$E240*$G240*$I240*$L240*AW$9)+(AV240/12*10*$F240*$G240*$I240*$L240*AW$9)</f>
        <v>0</v>
      </c>
      <c r="AX240" s="37"/>
      <c r="AY240" s="36">
        <f>SUM(AX240/12*2*$E240*$G240*$I240*$L240*AY$9)+(AX240/12*10*$F240*$G240*$I240*$L240*AY$9)</f>
        <v>0</v>
      </c>
      <c r="AZ240" s="37"/>
      <c r="BA240" s="36">
        <f>SUM(AZ240/12*2*$E240*$G240*$I240*$L240*BA$9)+(AZ240/12*10*$F240*$G240*$I240*$L240*BA$9)</f>
        <v>0</v>
      </c>
      <c r="BB240" s="37"/>
      <c r="BC240" s="36">
        <f>SUM(BB240/12*2*$E240*$G240*$I240*$L240*BC$9)+(BB240/12*10*$F240*$G240*$I240*$L240*BC$9)</f>
        <v>0</v>
      </c>
      <c r="BD240" s="37"/>
      <c r="BE240" s="36">
        <f>SUM(BD240/12*2*$E240*$G240*$I240*$L240*BE$9)+(BD240/12*10*$F240*$G240*$I240*$L240*BE$9)</f>
        <v>0</v>
      </c>
      <c r="BF240" s="37"/>
      <c r="BG240" s="39">
        <f>(BF240/12*2*$E240*$G240*$I240*$M240*BG$9)+(BF240/12*10*$F240*$G240*$I240*$M240*BG$9)</f>
        <v>0</v>
      </c>
      <c r="BH240" s="60"/>
      <c r="BI240" s="36">
        <f>(BH240/12*2*$E240*$G240*$I240*$M240*BI$9)+(BH240/12*10*$F240*$G240*$I240*$M240*BI$9)</f>
        <v>0</v>
      </c>
      <c r="BJ240" s="37"/>
      <c r="BK240" s="36">
        <f>(BJ240/12*2*$E240*$G240*$I240*$M240*BK$9)+(BJ240/12*10*$F240*$G240*$I240*$M240*BK$9)</f>
        <v>0</v>
      </c>
      <c r="BL240" s="37"/>
      <c r="BM240" s="36">
        <f>(BL240/12*2*$E240*$G240*$I240*$M240*BM$9)+(BL240/12*10*$F240*$G240*$I240*$M240*BM$9)</f>
        <v>0</v>
      </c>
      <c r="BN240" s="37"/>
      <c r="BO240" s="36">
        <f>(BN240/12*10*$F240*$G240*$I240*$M240*BO$9)</f>
        <v>0</v>
      </c>
      <c r="BP240" s="39"/>
      <c r="BQ240" s="36"/>
      <c r="BR240" s="37"/>
      <c r="BS240" s="36">
        <f>(BR240/12*10*$F240*$G240*$I240*$M240*BS$9)</f>
        <v>0</v>
      </c>
      <c r="BT240" s="37"/>
      <c r="BU240" s="36">
        <f>(BT240/12*2*$E240*$G240*$I240*$M240*BU$9)+(BT240/12*10*$F240*$G240*$I240*$M240*BU$9)</f>
        <v>0</v>
      </c>
      <c r="BV240" s="36"/>
      <c r="BW240" s="36">
        <f>(BV240/12*2*$E240*$G240*$I240*$M240*BW$9)+(BV240/12*10*$F240*$G240*$I240*$M240*BW$9)</f>
        <v>0</v>
      </c>
      <c r="BX240" s="37"/>
      <c r="BY240" s="36">
        <f>(BX240/12*2*$E240*$G240*$I240*$M240*BY$9)+(BX240/12*10*$F240*$G240*$I240*$M240*BY$9)</f>
        <v>0</v>
      </c>
      <c r="BZ240" s="37"/>
      <c r="CA240" s="36">
        <f>(BZ240/12*2*$E240*$G240*$I240*$M240*CA$9)+(BZ240/12*10*$F240*$G240*$I240*$M240*CA$9)</f>
        <v>0</v>
      </c>
      <c r="CB240" s="37"/>
      <c r="CC240" s="36">
        <f>(CB240/12*2*$E240*$G240*$I240*$M240*CC$9)+(CB240/12*10*$F240*$G240*$I240*$M240*CC$9)</f>
        <v>0</v>
      </c>
      <c r="CD240" s="37"/>
      <c r="CE240" s="36">
        <f>(CD240/12*2*$E240*$G240*$I240*$M240*CE$9)+(CD240/12*10*$F240*$G240*$I240*$M240*CE$9)</f>
        <v>0</v>
      </c>
      <c r="CF240" s="37"/>
      <c r="CG240" s="36">
        <f>(CF240/12*2*$E240*$G240*$I240*$N240*CG$9)+(CF240/12*10*$F240*$G240*$I240*$N240*CG$9)</f>
        <v>0</v>
      </c>
      <c r="CH240" s="37"/>
      <c r="CI240" s="36">
        <f>(CH240/12*2*$E240*$G240*$I240*$O240*$CI$9)+(CH240/12*10*$F240*$G240*$I240*$O240*$CI$9)</f>
        <v>0</v>
      </c>
      <c r="CJ240" s="36"/>
      <c r="CK240" s="41">
        <f>(CJ240/12*2*$E240*$G240*$I240*$M240)+(CJ240/12*10*$F240*$G240*$I240*$M240)</f>
        <v>0</v>
      </c>
      <c r="CL240" s="41"/>
      <c r="CM240" s="41"/>
      <c r="CN240" s="41"/>
      <c r="CO240" s="41"/>
      <c r="CP240" s="42">
        <f t="shared" si="304"/>
        <v>0</v>
      </c>
      <c r="CQ240" s="42">
        <f t="shared" si="304"/>
        <v>0</v>
      </c>
    </row>
    <row r="241" spans="1:95" s="3" customFormat="1" ht="30" hidden="1" customHeight="1" x14ac:dyDescent="0.25">
      <c r="A241" s="54"/>
      <c r="B241" s="54">
        <v>161</v>
      </c>
      <c r="C241" s="55" t="s">
        <v>595</v>
      </c>
      <c r="D241" s="121" t="s">
        <v>596</v>
      </c>
      <c r="E241" s="110">
        <v>16026</v>
      </c>
      <c r="F241" s="110">
        <v>16828</v>
      </c>
      <c r="G241" s="57">
        <v>12.27</v>
      </c>
      <c r="H241" s="34"/>
      <c r="I241" s="35">
        <v>1</v>
      </c>
      <c r="J241" s="111"/>
      <c r="K241" s="35"/>
      <c r="L241" s="97">
        <v>1.4</v>
      </c>
      <c r="M241" s="97">
        <v>1.68</v>
      </c>
      <c r="N241" s="97">
        <v>2.23</v>
      </c>
      <c r="O241" s="97">
        <v>2.57</v>
      </c>
      <c r="P241" s="36"/>
      <c r="Q241" s="36">
        <f>SUM(P241/12*2*$E241*$G241*$I241*$L241*$Q$9)+(P241/12*10*$F241*$G241*$I241*$L241*$Q$9)</f>
        <v>0</v>
      </c>
      <c r="R241" s="37"/>
      <c r="S241" s="36">
        <f>SUM(R241/12*2*$E241*$G241*$I241*$L241*S$9)+(R241/12*10*$F241*$G241*$I241*$L241*S$9)</f>
        <v>0</v>
      </c>
      <c r="T241" s="36"/>
      <c r="U241" s="36">
        <f>SUM(T241/12*2*$E241*$G241*$I241*$L241*U$9)+(T241/12*10*$F241*$G241*$I241*$L241*U$9)</f>
        <v>0</v>
      </c>
      <c r="V241" s="37"/>
      <c r="W241" s="36">
        <f>SUM(V241/12*2*$E241*$G241*$I241*$L241*$W$9)+(V241/12*10*$F241*$G241*$I241*$L241*$W$9)</f>
        <v>0</v>
      </c>
      <c r="X241" s="37"/>
      <c r="Y241" s="38">
        <f>SUM(X241/12*2*$E241*$G241*$I241*$L241*Y$9)+(X241/12*10*$F241*$G241*$I241*$L241*Y$9)</f>
        <v>0</v>
      </c>
      <c r="Z241" s="37"/>
      <c r="AA241" s="36"/>
      <c r="AB241" s="37"/>
      <c r="AC241" s="36">
        <f>(AB241/12*2*$E241*$G241*$I241*$L241)+(AB241/12*10*$F241*$G241*$I241*$L241)</f>
        <v>0</v>
      </c>
      <c r="AD241" s="37"/>
      <c r="AE241" s="36">
        <f>(AD241/12*2*$E241*$G241*$I241*$L241*AE$9)+(AD241/12*10*$F241*$G241*$I241*$L241*AE$9)</f>
        <v>0</v>
      </c>
      <c r="AF241" s="37"/>
      <c r="AG241" s="36">
        <f>(AF241/12*2*$E241*$G241*$I241*$M241*AG$9)+(AF241/12*10*$F241*$G241*$I241*$M241*AG$9)</f>
        <v>0</v>
      </c>
      <c r="AH241" s="37"/>
      <c r="AI241" s="36">
        <f>(AH241/12*2*$E241*$G241*$I241*$M241*$AI$9)+(AH241/12*10*$F241*$G241*$I241*$M241*$AI$9)</f>
        <v>0</v>
      </c>
      <c r="AJ241" s="36">
        <v>0</v>
      </c>
      <c r="AK241" s="36">
        <v>0</v>
      </c>
      <c r="AL241" s="37"/>
      <c r="AM241" s="36">
        <f>SUM(AL241/12*2*$E241*$G241*$I241*$L241*AM$9)+(AL241/12*10*$F241*$G241*$I241*$L241*AM$9)</f>
        <v>0</v>
      </c>
      <c r="AN241" s="37"/>
      <c r="AO241" s="36">
        <f>SUM(AN241/12*2*$E241*$G241*$I241*$L241*$AE$9)+(AN241/12*10*$F241*$G241*$I241*$L241*$AE$9)</f>
        <v>0</v>
      </c>
      <c r="AP241" s="37"/>
      <c r="AQ241" s="36"/>
      <c r="AR241" s="37"/>
      <c r="AS241" s="36">
        <f>SUM(AR241/12*2*$E241*$G241*$I241*$L241*AS$9)+(AR241/12*10*$F241*$G241*$I241*$L241*AS$9)</f>
        <v>0</v>
      </c>
      <c r="AT241" s="37"/>
      <c r="AU241" s="36">
        <f>SUM(AT241/12*2*$E241*$G241*$I241*$L241*$AI$9)+(AT241/12*10*$F241*$G241*$I241*$L241*$AI$9)</f>
        <v>0</v>
      </c>
      <c r="AV241" s="37"/>
      <c r="AW241" s="36">
        <f>SUM(AV241/12*2*$E241*$G241*$I241*$L241*AW$9)+(AV241/12*10*$F241*$G241*$I241*$L241*AW$9)</f>
        <v>0</v>
      </c>
      <c r="AX241" s="37"/>
      <c r="AY241" s="36">
        <f>SUM(AX241/12*2*$E241*$G241*$I241*$L241*AY$9)+(AX241/12*10*$F241*$G241*$I241*$L241*AY$9)</f>
        <v>0</v>
      </c>
      <c r="AZ241" s="37"/>
      <c r="BA241" s="36">
        <f>SUM(AZ241/12*2*$E241*$G241*$I241*$L241*BA$9)+(AZ241/12*10*$F241*$G241*$I241*$L241*BA$9)</f>
        <v>0</v>
      </c>
      <c r="BB241" s="37"/>
      <c r="BC241" s="36">
        <f>SUM(BB241/12*2*$E241*$G241*$I241*$L241*BC$9)+(BB241/12*10*$F241*$G241*$I241*$L241*BC$9)</f>
        <v>0</v>
      </c>
      <c r="BD241" s="37"/>
      <c r="BE241" s="36">
        <f>SUM(BD241/12*2*$E241*$G241*$I241*$L241*BE$9)+(BD241/12*10*$F241*$G241*$I241*$L241*BE$9)</f>
        <v>0</v>
      </c>
      <c r="BF241" s="37"/>
      <c r="BG241" s="39">
        <f>(BF241/12*2*$E241*$G241*$I241*$M241*BG$9)+(BF241/12*10*$F241*$G241*$I241*$M241*BG$9)</f>
        <v>0</v>
      </c>
      <c r="BH241" s="60"/>
      <c r="BI241" s="36">
        <f>(BH241/12*2*$E241*$G241*$I241*$M241*BI$9)+(BH241/12*10*$F241*$G241*$I241*$M241*BI$9)</f>
        <v>0</v>
      </c>
      <c r="BJ241" s="37"/>
      <c r="BK241" s="36">
        <f>(BJ241/12*2*$E241*$G241*$I241*$M241*BK$9)+(BJ241/12*10*$F241*$G241*$I241*$M241*BK$9)</f>
        <v>0</v>
      </c>
      <c r="BL241" s="37"/>
      <c r="BM241" s="36">
        <f>(BL241/12*2*$E241*$G241*$I241*$M241*BM$9)+(BL241/12*10*$F241*$G241*$I241*$M241*BM$9)</f>
        <v>0</v>
      </c>
      <c r="BN241" s="37"/>
      <c r="BO241" s="36">
        <f>(BN241/12*10*$F241*$G241*$I241*$M241*BO$9)</f>
        <v>0</v>
      </c>
      <c r="BP241" s="39"/>
      <c r="BQ241" s="36"/>
      <c r="BR241" s="37"/>
      <c r="BS241" s="36">
        <f>(BR241/12*10*$F241*$G241*$I241*$M241*BS$9)</f>
        <v>0</v>
      </c>
      <c r="BT241" s="37"/>
      <c r="BU241" s="36">
        <f>(BT241/12*2*$E241*$G241*$I241*$M241*BU$9)+(BT241/12*10*$F241*$G241*$I241*$M241*BU$9)</f>
        <v>0</v>
      </c>
      <c r="BV241" s="36"/>
      <c r="BW241" s="36">
        <f>(BV241/12*2*$E241*$G241*$I241*$M241*BW$9)+(BV241/12*10*$F241*$G241*$I241*$M241*BW$9)</f>
        <v>0</v>
      </c>
      <c r="BX241" s="37"/>
      <c r="BY241" s="36">
        <f>(BX241/12*2*$E241*$G241*$I241*$M241*BY$9)+(BX241/12*10*$F241*$G241*$I241*$M241*BY$9)</f>
        <v>0</v>
      </c>
      <c r="BZ241" s="37"/>
      <c r="CA241" s="36">
        <f>(BZ241/12*2*$E241*$G241*$I241*$M241*CA$9)+(BZ241/12*10*$F241*$G241*$I241*$M241*CA$9)</f>
        <v>0</v>
      </c>
      <c r="CB241" s="37"/>
      <c r="CC241" s="36">
        <f>(CB241/12*2*$E241*$G241*$I241*$M241*CC$9)+(CB241/12*10*$F241*$G241*$I241*$M241*CC$9)</f>
        <v>0</v>
      </c>
      <c r="CD241" s="37"/>
      <c r="CE241" s="36">
        <f>(CD241/12*2*$E241*$G241*$I241*$M241*CE$9)+(CD241/12*10*$F241*$G241*$I241*$M241*CE$9)</f>
        <v>0</v>
      </c>
      <c r="CF241" s="37"/>
      <c r="CG241" s="36">
        <f>(CF241/12*2*$E241*$G241*$I241*$N241*CG$9)+(CF241/12*10*$F241*$G241*$I241*$N241*CG$9)</f>
        <v>0</v>
      </c>
      <c r="CH241" s="37"/>
      <c r="CI241" s="36">
        <f>(CH241/12*2*$E241*$G241*$I241*$O241*$CI$9)+(CH241/12*10*$F241*$G241*$I241*$O241*$CI$9)</f>
        <v>0</v>
      </c>
      <c r="CJ241" s="36"/>
      <c r="CK241" s="41">
        <f>(CJ241/12*2*$E241*$G241*$I241*$M241)+(CJ241/12*10*$F241*$G241*$I241*$M241)</f>
        <v>0</v>
      </c>
      <c r="CL241" s="41"/>
      <c r="CM241" s="41"/>
      <c r="CN241" s="41"/>
      <c r="CO241" s="41"/>
      <c r="CP241" s="42">
        <f t="shared" si="304"/>
        <v>0</v>
      </c>
      <c r="CQ241" s="42">
        <f t="shared" si="304"/>
        <v>0</v>
      </c>
    </row>
    <row r="242" spans="1:95" ht="18.75" hidden="1" customHeight="1" x14ac:dyDescent="0.25">
      <c r="A242" s="124">
        <v>36</v>
      </c>
      <c r="B242" s="124"/>
      <c r="C242" s="149" t="s">
        <v>597</v>
      </c>
      <c r="D242" s="141" t="s">
        <v>598</v>
      </c>
      <c r="E242" s="110">
        <v>16026</v>
      </c>
      <c r="F242" s="134">
        <v>16828</v>
      </c>
      <c r="G242" s="150"/>
      <c r="H242" s="136"/>
      <c r="I242" s="128"/>
      <c r="J242" s="129"/>
      <c r="K242" s="29"/>
      <c r="L242" s="97">
        <v>1.4</v>
      </c>
      <c r="M242" s="97">
        <v>1.68</v>
      </c>
      <c r="N242" s="97">
        <v>2.23</v>
      </c>
      <c r="O242" s="97">
        <v>2.57</v>
      </c>
      <c r="P242" s="139">
        <f>SUM(P243:P272)</f>
        <v>19</v>
      </c>
      <c r="Q242" s="139">
        <f t="shared" ref="Q242:CB242" si="305">SUM(Q243:Q272)</f>
        <v>1611883.4357461331</v>
      </c>
      <c r="R242" s="139">
        <f t="shared" si="305"/>
        <v>0</v>
      </c>
      <c r="S242" s="139">
        <f t="shared" si="305"/>
        <v>0</v>
      </c>
      <c r="T242" s="139">
        <f t="shared" si="305"/>
        <v>71</v>
      </c>
      <c r="U242" s="139">
        <f t="shared" si="305"/>
        <v>663766.69333333336</v>
      </c>
      <c r="V242" s="139">
        <f t="shared" si="305"/>
        <v>22</v>
      </c>
      <c r="W242" s="139">
        <f t="shared" si="305"/>
        <v>205674.18666666665</v>
      </c>
      <c r="X242" s="139">
        <f t="shared" si="305"/>
        <v>0</v>
      </c>
      <c r="Y242" s="139">
        <f t="shared" si="305"/>
        <v>0</v>
      </c>
      <c r="Z242" s="139">
        <f t="shared" si="305"/>
        <v>0</v>
      </c>
      <c r="AA242" s="139">
        <f t="shared" si="305"/>
        <v>0</v>
      </c>
      <c r="AB242" s="139">
        <f t="shared" si="305"/>
        <v>0</v>
      </c>
      <c r="AC242" s="139">
        <f t="shared" si="305"/>
        <v>0</v>
      </c>
      <c r="AD242" s="139">
        <f t="shared" si="305"/>
        <v>3</v>
      </c>
      <c r="AE242" s="139">
        <f t="shared" si="305"/>
        <v>39265.072</v>
      </c>
      <c r="AF242" s="139">
        <f t="shared" si="305"/>
        <v>0</v>
      </c>
      <c r="AG242" s="139">
        <f t="shared" si="305"/>
        <v>0</v>
      </c>
      <c r="AH242" s="139">
        <f>SUM(AH243:AH272)</f>
        <v>1</v>
      </c>
      <c r="AI242" s="139">
        <f t="shared" si="305"/>
        <v>115591.17936256</v>
      </c>
      <c r="AJ242" s="139">
        <v>4</v>
      </c>
      <c r="AK242" s="139">
        <v>460513.69</v>
      </c>
      <c r="AL242" s="139">
        <f t="shared" si="305"/>
        <v>0</v>
      </c>
      <c r="AM242" s="139">
        <f t="shared" si="305"/>
        <v>0</v>
      </c>
      <c r="AN242" s="139">
        <f t="shared" si="305"/>
        <v>0</v>
      </c>
      <c r="AO242" s="139">
        <f t="shared" si="305"/>
        <v>0</v>
      </c>
      <c r="AP242" s="139">
        <f t="shared" si="305"/>
        <v>0</v>
      </c>
      <c r="AQ242" s="139">
        <f t="shared" si="305"/>
        <v>0</v>
      </c>
      <c r="AR242" s="139">
        <f t="shared" si="305"/>
        <v>0</v>
      </c>
      <c r="AS242" s="139">
        <f t="shared" si="305"/>
        <v>0</v>
      </c>
      <c r="AT242" s="139">
        <f t="shared" si="305"/>
        <v>0</v>
      </c>
      <c r="AU242" s="139">
        <f t="shared" si="305"/>
        <v>0</v>
      </c>
      <c r="AV242" s="139">
        <f t="shared" si="305"/>
        <v>0</v>
      </c>
      <c r="AW242" s="139">
        <f t="shared" si="305"/>
        <v>0</v>
      </c>
      <c r="AX242" s="139">
        <f t="shared" si="305"/>
        <v>0</v>
      </c>
      <c r="AY242" s="139">
        <f t="shared" si="305"/>
        <v>0</v>
      </c>
      <c r="AZ242" s="139">
        <f t="shared" si="305"/>
        <v>0</v>
      </c>
      <c r="BA242" s="139">
        <f t="shared" si="305"/>
        <v>0</v>
      </c>
      <c r="BB242" s="139">
        <f t="shared" si="305"/>
        <v>0</v>
      </c>
      <c r="BC242" s="139">
        <f t="shared" si="305"/>
        <v>0</v>
      </c>
      <c r="BD242" s="139">
        <f t="shared" si="305"/>
        <v>0</v>
      </c>
      <c r="BE242" s="139">
        <f t="shared" si="305"/>
        <v>0</v>
      </c>
      <c r="BF242" s="139">
        <f t="shared" si="305"/>
        <v>0</v>
      </c>
      <c r="BG242" s="139">
        <f t="shared" si="305"/>
        <v>0</v>
      </c>
      <c r="BH242" s="139">
        <f t="shared" si="305"/>
        <v>394</v>
      </c>
      <c r="BI242" s="139">
        <f t="shared" si="305"/>
        <v>17564954.363803148</v>
      </c>
      <c r="BJ242" s="139">
        <f t="shared" si="305"/>
        <v>0</v>
      </c>
      <c r="BK242" s="139">
        <f t="shared" si="305"/>
        <v>0</v>
      </c>
      <c r="BL242" s="139">
        <f t="shared" si="305"/>
        <v>167</v>
      </c>
      <c r="BM242" s="139">
        <f t="shared" si="305"/>
        <v>14238357.0825628</v>
      </c>
      <c r="BN242" s="139">
        <f t="shared" si="305"/>
        <v>0</v>
      </c>
      <c r="BO242" s="139">
        <f t="shared" si="305"/>
        <v>0</v>
      </c>
      <c r="BP242" s="139">
        <f t="shared" si="305"/>
        <v>0</v>
      </c>
      <c r="BQ242" s="139">
        <f t="shared" si="305"/>
        <v>0</v>
      </c>
      <c r="BR242" s="139">
        <f t="shared" si="305"/>
        <v>0</v>
      </c>
      <c r="BS242" s="139">
        <f t="shared" si="305"/>
        <v>0</v>
      </c>
      <c r="BT242" s="139">
        <f t="shared" si="305"/>
        <v>0</v>
      </c>
      <c r="BU242" s="139">
        <f t="shared" si="305"/>
        <v>0</v>
      </c>
      <c r="BV242" s="139">
        <f t="shared" si="305"/>
        <v>0</v>
      </c>
      <c r="BW242" s="139">
        <f t="shared" si="305"/>
        <v>0</v>
      </c>
      <c r="BX242" s="139">
        <f t="shared" si="305"/>
        <v>0</v>
      </c>
      <c r="BY242" s="139">
        <f t="shared" si="305"/>
        <v>0</v>
      </c>
      <c r="BZ242" s="139">
        <f t="shared" si="305"/>
        <v>0</v>
      </c>
      <c r="CA242" s="139">
        <f t="shared" si="305"/>
        <v>0</v>
      </c>
      <c r="CB242" s="139">
        <f t="shared" si="305"/>
        <v>0</v>
      </c>
      <c r="CC242" s="139">
        <f t="shared" ref="CC242:CP242" si="306">SUM(CC243:CC272)</f>
        <v>0</v>
      </c>
      <c r="CD242" s="139">
        <f t="shared" si="306"/>
        <v>0</v>
      </c>
      <c r="CE242" s="139">
        <f t="shared" si="306"/>
        <v>0</v>
      </c>
      <c r="CF242" s="139">
        <f t="shared" si="306"/>
        <v>0</v>
      </c>
      <c r="CG242" s="139">
        <f t="shared" si="306"/>
        <v>0</v>
      </c>
      <c r="CH242" s="139">
        <f t="shared" si="306"/>
        <v>0</v>
      </c>
      <c r="CI242" s="139">
        <f t="shared" si="306"/>
        <v>0</v>
      </c>
      <c r="CJ242" s="139">
        <f t="shared" si="306"/>
        <v>0</v>
      </c>
      <c r="CK242" s="139">
        <f t="shared" si="306"/>
        <v>0</v>
      </c>
      <c r="CL242" s="139">
        <f t="shared" si="306"/>
        <v>5</v>
      </c>
      <c r="CM242" s="139">
        <f t="shared" si="306"/>
        <v>871690.39999999991</v>
      </c>
      <c r="CN242" s="139">
        <f t="shared" si="306"/>
        <v>0</v>
      </c>
      <c r="CO242" s="139">
        <f t="shared" si="306"/>
        <v>0</v>
      </c>
      <c r="CP242" s="139">
        <f t="shared" si="306"/>
        <v>686</v>
      </c>
      <c r="CQ242" s="139">
        <f>SUM(CQ243:CQ272)</f>
        <v>35771696.103474632</v>
      </c>
    </row>
    <row r="243" spans="1:95" s="3" customFormat="1" ht="30" hidden="1" customHeight="1" x14ac:dyDescent="0.25">
      <c r="A243" s="54"/>
      <c r="B243" s="54">
        <v>162</v>
      </c>
      <c r="C243" s="55" t="s">
        <v>599</v>
      </c>
      <c r="D243" s="121" t="s">
        <v>600</v>
      </c>
      <c r="E243" s="110">
        <v>16026</v>
      </c>
      <c r="F243" s="110">
        <v>16828</v>
      </c>
      <c r="G243" s="33">
        <v>7.86</v>
      </c>
      <c r="H243" s="34"/>
      <c r="I243" s="83">
        <v>1</v>
      </c>
      <c r="J243" s="111"/>
      <c r="K243" s="35"/>
      <c r="L243" s="97">
        <v>1.4</v>
      </c>
      <c r="M243" s="97">
        <v>1.68</v>
      </c>
      <c r="N243" s="97">
        <v>2.23</v>
      </c>
      <c r="O243" s="97">
        <v>2.57</v>
      </c>
      <c r="P243" s="36">
        <v>2</v>
      </c>
      <c r="Q243" s="36">
        <f>SUM(P243/12*2*$E243*$G243*$I243*$L243*$Q$9)+(P243/12*10*$F243*$G243*$I243*$L243*$Q$9)</f>
        <v>367408.88799999998</v>
      </c>
      <c r="R243" s="37"/>
      <c r="S243" s="36">
        <f>SUM(R243/12*2*$E243*$G243*$I243*$L243*S$9)+(R243/12*10*$F243*$G243*$I243*$L243*S$9)</f>
        <v>0</v>
      </c>
      <c r="T243" s="36"/>
      <c r="U243" s="36">
        <f>SUM(T243/12*2*$E243*$G243*$I243*$L243*U$9)+(T243/12*10*$F243*$G243*$I243*$L243*U$9)</f>
        <v>0</v>
      </c>
      <c r="V243" s="37"/>
      <c r="W243" s="36">
        <f>SUM(V243/12*2*$E243*$G243*$I243*$L243*$W$9)+(V243/12*10*$F243*$G243*$I243*$L243*$W$9)</f>
        <v>0</v>
      </c>
      <c r="X243" s="37"/>
      <c r="Y243" s="38">
        <f>SUM(X243/12*2*$E243*$G243*$I243*$L243*Y$9)+(X243/12*10*$F243*$G243*$I243*$L243*Y$9)</f>
        <v>0</v>
      </c>
      <c r="Z243" s="37"/>
      <c r="AA243" s="36"/>
      <c r="AB243" s="37"/>
      <c r="AC243" s="36">
        <f>(AB243/12*2*$E243*$G243*$I243*$L243)+(AB243/12*10*$F243*$G243*$I243*$L243)</f>
        <v>0</v>
      </c>
      <c r="AD243" s="37"/>
      <c r="AE243" s="36">
        <f>(AD243/12*2*$E243*$G243*$I243*$L243*AE$9)+(AD243/12*10*$F243*$G243*$I243*$L243*AE$9)</f>
        <v>0</v>
      </c>
      <c r="AF243" s="37"/>
      <c r="AG243" s="36">
        <f>(AF243/12*2*$E243*$G243*$I243*$M243*AG$9)+(AF243/12*10*$F243*$G243*$I243*$M243*AG$9)</f>
        <v>0</v>
      </c>
      <c r="AH243" s="37"/>
      <c r="AI243" s="36">
        <f>(AH243/12*2*$E243*$G243*$I243*$M243*$AI$9)+(AH243/12*10*$F243*$G243*$I243*$M243*$AI$9)</f>
        <v>0</v>
      </c>
      <c r="AJ243" s="36">
        <v>0</v>
      </c>
      <c r="AK243" s="36">
        <v>0</v>
      </c>
      <c r="AL243" s="37"/>
      <c r="AM243" s="36">
        <f>SUM(AL243/12*2*$E243*$G243*$I243*$L243*AM$9)+(AL243/12*10*$F243*$G243*$I243*$L243*AM$9)</f>
        <v>0</v>
      </c>
      <c r="AN243" s="37"/>
      <c r="AO243" s="36">
        <f>SUM(AN243/12*2*$E243*$G243*$I243*$L243*$AE$9)+(AN243/12*10*$F243*$G243*$I243*$L243*$AE$9)</f>
        <v>0</v>
      </c>
      <c r="AP243" s="37"/>
      <c r="AQ243" s="36"/>
      <c r="AR243" s="37"/>
      <c r="AS243" s="36">
        <f>SUM(AR243/12*2*$E243*$G243*$I243*$L243*AS$9)+(AR243/12*10*$F243*$G243*$I243*$L243*AS$9)</f>
        <v>0</v>
      </c>
      <c r="AT243" s="37"/>
      <c r="AU243" s="36">
        <f>SUM(AT243/12*2*$E243*$G243*$I243*$L243*$AI$9)+(AT243/12*10*$F243*$G243*$I243*$L243*$AI$9)</f>
        <v>0</v>
      </c>
      <c r="AV243" s="37"/>
      <c r="AW243" s="36">
        <f>SUM(AV243/12*2*$E243*$G243*$I243*$L243*AW$9)+(AV243/12*10*$F243*$G243*$I243*$L243*AW$9)</f>
        <v>0</v>
      </c>
      <c r="AX243" s="37"/>
      <c r="AY243" s="36">
        <f>SUM(AX243/12*2*$E243*$G243*$I243*$L243*AY$9)+(AX243/12*10*$F243*$G243*$I243*$L243*AY$9)</f>
        <v>0</v>
      </c>
      <c r="AZ243" s="37"/>
      <c r="BA243" s="36">
        <f>SUM(AZ243/12*2*$E243*$G243*$I243*$L243*BA$9)+(AZ243/12*10*$F243*$G243*$I243*$L243*BA$9)</f>
        <v>0</v>
      </c>
      <c r="BB243" s="37"/>
      <c r="BC243" s="36">
        <f>SUM(BB243/12*2*$E243*$G243*$I243*$L243*BC$9)+(BB243/12*10*$F243*$G243*$I243*$L243*BC$9)</f>
        <v>0</v>
      </c>
      <c r="BD243" s="37"/>
      <c r="BE243" s="36">
        <f>SUM(BD243/12*2*$E243*$G243*$I243*$L243*BE$9)+(BD243/12*10*$F243*$G243*$I243*$L243*BE$9)</f>
        <v>0</v>
      </c>
      <c r="BF243" s="37"/>
      <c r="BG243" s="39">
        <f>(BF243/12*2*$E243*$G243*$I243*$M243*BG$9)+(BF243/12*10*$F243*$G243*$I243*$M243*BG$9)</f>
        <v>0</v>
      </c>
      <c r="BH243" s="60"/>
      <c r="BI243" s="36">
        <f>(BH243/12*2*$E243*$G243*$I243*$M243*BI$9)+(BH243/12*10*$F243*$G243*$I243*$M243*BI$9)</f>
        <v>0</v>
      </c>
      <c r="BJ243" s="37"/>
      <c r="BK243" s="36">
        <f>(BJ243/12*2*$E243*$G243*$I243*$M243*BK$9)+(BJ243/12*10*$F243*$G243*$I243*$M243*BK$9)</f>
        <v>0</v>
      </c>
      <c r="BL243" s="37"/>
      <c r="BM243" s="36">
        <f>(BL243/12*2*$E243*$G243*$I243*$M243*BM$9)+(BL243/12*10*$F243*$G243*$I243*$M243*BM$9)</f>
        <v>0</v>
      </c>
      <c r="BN243" s="37"/>
      <c r="BO243" s="36">
        <f>(BN243/12*10*$F243*$G243*$I243*$M243*BO$9)</f>
        <v>0</v>
      </c>
      <c r="BP243" s="39"/>
      <c r="BQ243" s="36"/>
      <c r="BR243" s="37"/>
      <c r="BS243" s="36">
        <f>(BR243/12*10*$F243*$G243*$I243*$M243*BS$9)</f>
        <v>0</v>
      </c>
      <c r="BT243" s="37"/>
      <c r="BU243" s="36">
        <f>(BT243/12*2*$E243*$G243*$I243*$M243*BU$9)+(BT243/12*10*$F243*$G243*$I243*$M243*BU$9)</f>
        <v>0</v>
      </c>
      <c r="BV243" s="36"/>
      <c r="BW243" s="36">
        <f>(BV243/12*2*$E243*$G243*$I243*$M243*BW$9)+(BV243/12*10*$F243*$G243*$I243*$M243*BW$9)</f>
        <v>0</v>
      </c>
      <c r="BX243" s="37"/>
      <c r="BY243" s="36">
        <f>(BX243/12*2*$E243*$G243*$I243*$M243*BY$9)+(BX243/12*10*$F243*$G243*$I243*$M243*BY$9)</f>
        <v>0</v>
      </c>
      <c r="BZ243" s="37"/>
      <c r="CA243" s="36">
        <f>(BZ243/12*2*$E243*$G243*$I243*$M243*CA$9)+(BZ243/12*10*$F243*$G243*$I243*$M243*CA$9)</f>
        <v>0</v>
      </c>
      <c r="CB243" s="37"/>
      <c r="CC243" s="36">
        <f>(CB243/12*2*$E243*$G243*$I243*$M243*CC$9)+(CB243/12*10*$F243*$G243*$I243*$M243*CC$9)</f>
        <v>0</v>
      </c>
      <c r="CD243" s="37"/>
      <c r="CE243" s="36">
        <f>(CD243/12*2*$E243*$G243*$I243*$M243*CE$9)+(CD243/12*10*$F243*$G243*$I243*$M243*CE$9)</f>
        <v>0</v>
      </c>
      <c r="CF243" s="37"/>
      <c r="CG243" s="36">
        <f>(CF243/12*2*$E243*$G243*$I243*$N243*CG$9)+(CF243/12*10*$F243*$G243*$I243*$N243*CG$9)</f>
        <v>0</v>
      </c>
      <c r="CH243" s="40"/>
      <c r="CI243" s="36">
        <f>(CH243/12*2*$E243*$G243*$I243*$O243*$CI$9)+(CH243/12*10*$F243*$G243*$I243*$O243*$CI$9)</f>
        <v>0</v>
      </c>
      <c r="CJ243" s="36"/>
      <c r="CK243" s="41">
        <f>(CJ243/12*2*$E243*$G243*$I243*$M243)+(CJ243/12*10*$F243*$G243*$I243*$M243)</f>
        <v>0</v>
      </c>
      <c r="CL243" s="41"/>
      <c r="CM243" s="41"/>
      <c r="CN243" s="41"/>
      <c r="CO243" s="41"/>
      <c r="CP243" s="42">
        <f t="shared" ref="CP243:CQ272" si="307">SUM(R243+P243+T243+V243+AB243+Z243+X243+AF243+AD243+AH243+AJ243+BF243+BJ243+AL243+AT243+AV243+BT243+BV243+BR243+BX243+BZ243+BN243+AN243+AP243+AR243+BH243+BL243+AX243+AZ243+BB243+BD243+BP243+CB243+CD243+CF243+CH243+CJ243+CL243)</f>
        <v>2</v>
      </c>
      <c r="CQ243" s="42">
        <f t="shared" si="307"/>
        <v>367408.88799999998</v>
      </c>
    </row>
    <row r="244" spans="1:95" s="3" customFormat="1" ht="45" hidden="1" customHeight="1" x14ac:dyDescent="0.25">
      <c r="A244" s="54"/>
      <c r="B244" s="54">
        <v>163</v>
      </c>
      <c r="C244" s="55" t="s">
        <v>601</v>
      </c>
      <c r="D244" s="120" t="s">
        <v>602</v>
      </c>
      <c r="E244" s="110">
        <v>16026</v>
      </c>
      <c r="F244" s="110">
        <v>16828</v>
      </c>
      <c r="G244" s="33">
        <v>0.56000000000000005</v>
      </c>
      <c r="H244" s="34"/>
      <c r="I244" s="35">
        <v>1</v>
      </c>
      <c r="J244" s="111"/>
      <c r="K244" s="35"/>
      <c r="L244" s="97">
        <v>1.4</v>
      </c>
      <c r="M244" s="97">
        <v>1.68</v>
      </c>
      <c r="N244" s="97">
        <v>2.23</v>
      </c>
      <c r="O244" s="97">
        <v>2.57</v>
      </c>
      <c r="P244" s="36">
        <v>2</v>
      </c>
      <c r="Q244" s="36">
        <f>SUM(P244/12*2*$E244*$G244*$I244*$L244*$Q$9)+(P244/12*10*$F244*$G244*$I244*$L244*$Q$9)</f>
        <v>26176.714666666667</v>
      </c>
      <c r="R244" s="37">
        <v>0</v>
      </c>
      <c r="S244" s="36">
        <f>SUM(R244/12*2*$E244*$G244*$I244*$L244*S$9)+(R244/12*10*$F244*$G244*$I244*$L244*S$9)</f>
        <v>0</v>
      </c>
      <c r="T244" s="36"/>
      <c r="U244" s="36">
        <f>SUM(T244/12*2*$E244*$G244*$I244*$L244*U$9)+(T244/12*10*$F244*$G244*$I244*$L244*U$9)</f>
        <v>0</v>
      </c>
      <c r="V244" s="37">
        <v>0</v>
      </c>
      <c r="W244" s="36">
        <f>SUM(V244/12*2*$E244*$G244*$I244*$L244*$W$9)+(V244/12*10*$F244*$G244*$I244*$L244*$W$9)</f>
        <v>0</v>
      </c>
      <c r="X244" s="37"/>
      <c r="Y244" s="38">
        <f>SUM(X244/12*2*$E244*$G244*$I244*$L244*Y$9)+(X244/12*10*$F244*$G244*$I244*$L244*Y$9)</f>
        <v>0</v>
      </c>
      <c r="Z244" s="37"/>
      <c r="AA244" s="36"/>
      <c r="AB244" s="37"/>
      <c r="AC244" s="36">
        <f>(AB244/12*2*$E244*$G244*$I244*$L244)+(AB244/12*10*$F244*$G244*$I244*$L244)</f>
        <v>0</v>
      </c>
      <c r="AD244" s="39">
        <v>3</v>
      </c>
      <c r="AE244" s="36">
        <f>(AD244/12*2*$E244*$G244*$I244*$L244*AE$9)+(AD244/12*10*$F244*$G244*$I244*$L244*AE$9)</f>
        <v>39265.072</v>
      </c>
      <c r="AF244" s="37">
        <v>0</v>
      </c>
      <c r="AG244" s="36">
        <f>(AF244/12*2*$E244*$G244*$I244*$M244*AG$9)+(AF244/12*10*$F244*$G244*$I244*$M244*AG$9)</f>
        <v>0</v>
      </c>
      <c r="AH244" s="37">
        <v>0</v>
      </c>
      <c r="AI244" s="36">
        <f>(AH244/12*2*$E244*$G244*$I244*$M244*$AI$9)+(AH244/12*10*$F244*$G244*$I244*$M244*$AI$9)</f>
        <v>0</v>
      </c>
      <c r="AJ244" s="36">
        <v>0</v>
      </c>
      <c r="AK244" s="36">
        <v>0</v>
      </c>
      <c r="AL244" s="37"/>
      <c r="AM244" s="36">
        <f>SUM(AL244/12*2*$E244*$G244*$I244*$L244*AM$9)+(AL244/12*10*$F244*$G244*$I244*$L244*AM$9)</f>
        <v>0</v>
      </c>
      <c r="AN244" s="37">
        <v>0</v>
      </c>
      <c r="AO244" s="36">
        <f>SUM(AN244/12*2*$E244*$G244*$I244*$L244*$AE$9)+(AN244/12*10*$F244*$G244*$I244*$L244*$AE$9)</f>
        <v>0</v>
      </c>
      <c r="AP244" s="37"/>
      <c r="AQ244" s="36"/>
      <c r="AR244" s="37"/>
      <c r="AS244" s="36">
        <f>SUM(AR244/12*2*$E244*$G244*$I244*$L244*AS$9)+(AR244/12*10*$F244*$G244*$I244*$L244*AS$9)</f>
        <v>0</v>
      </c>
      <c r="AT244" s="37">
        <v>0</v>
      </c>
      <c r="AU244" s="36">
        <f>SUM(AT244/12*2*$E244*$G244*$I244*$L244*$AI$9)+(AT244/12*10*$F244*$G244*$I244*$L244*$AI$9)</f>
        <v>0</v>
      </c>
      <c r="AV244" s="37">
        <v>0</v>
      </c>
      <c r="AW244" s="36">
        <f>SUM(AV244/12*2*$E244*$G244*$I244*$L244*AW$9)+(AV244/12*10*$F244*$G244*$I244*$L244*AW$9)</f>
        <v>0</v>
      </c>
      <c r="AX244" s="37">
        <v>0</v>
      </c>
      <c r="AY244" s="36">
        <f>SUM(AX244/12*2*$E244*$G244*$I244*$L244*AY$9)+(AX244/12*10*$F244*$G244*$I244*$L244*AY$9)</f>
        <v>0</v>
      </c>
      <c r="AZ244" s="37">
        <v>0</v>
      </c>
      <c r="BA244" s="36">
        <f>SUM(AZ244/12*2*$E244*$G244*$I244*$L244*BA$9)+(AZ244/12*10*$F244*$G244*$I244*$L244*BA$9)</f>
        <v>0</v>
      </c>
      <c r="BB244" s="37">
        <v>0</v>
      </c>
      <c r="BC244" s="36">
        <f>SUM(BB244/12*2*$E244*$G244*$I244*$L244*BC$9)+(BB244/12*10*$F244*$G244*$I244*$L244*BC$9)</f>
        <v>0</v>
      </c>
      <c r="BD244" s="37"/>
      <c r="BE244" s="36">
        <f>SUM(BD244/12*2*$E244*$G244*$I244*$L244*BE$9)+(BD244/12*10*$F244*$G244*$I244*$L244*BE$9)</f>
        <v>0</v>
      </c>
      <c r="BF244" s="37">
        <v>0</v>
      </c>
      <c r="BG244" s="39">
        <f>(BF244/12*2*$E244*$G244*$I244*$M244*BG$9)+(BF244/12*10*$F244*$G244*$I244*$M244*BG$9)</f>
        <v>0</v>
      </c>
      <c r="BH244" s="60">
        <v>0</v>
      </c>
      <c r="BI244" s="36">
        <f>(BH244/12*2*$E244*$G244*$I244*$M244*BI$9)+(BH244/12*10*$F244*$G244*$I244*$M244*BI$9)</f>
        <v>0</v>
      </c>
      <c r="BJ244" s="37">
        <v>0</v>
      </c>
      <c r="BK244" s="36">
        <f>(BJ244/12*2*$E244*$G244*$I244*$M244*BK$9)+(BJ244/12*10*$F244*$G244*$I244*$M244*BK$9)</f>
        <v>0</v>
      </c>
      <c r="BL244" s="37">
        <v>0</v>
      </c>
      <c r="BM244" s="36">
        <f>(BL244/12*2*$E244*$G244*$I244*$M244*BM$9)+(BL244/12*10*$F244*$G244*$I244*$M244*BM$9)</f>
        <v>0</v>
      </c>
      <c r="BN244" s="37"/>
      <c r="BO244" s="36">
        <f>(BN244/12*10*$F244*$G244*$I244*$M244*BO$9)</f>
        <v>0</v>
      </c>
      <c r="BP244" s="39"/>
      <c r="BQ244" s="36"/>
      <c r="BR244" s="37"/>
      <c r="BS244" s="36">
        <f>(BR244/12*10*$F244*$G244*$I244*$M244*BS$9)</f>
        <v>0</v>
      </c>
      <c r="BT244" s="37"/>
      <c r="BU244" s="36">
        <f>(BT244/12*2*$E244*$G244*$I244*$M244*BU$9)+(BT244/12*10*$F244*$G244*$I244*$M244*BU$9)</f>
        <v>0</v>
      </c>
      <c r="BV244" s="36"/>
      <c r="BW244" s="36">
        <f>(BV244/12*2*$E244*$G244*$I244*$M244*BW$9)+(BV244/12*10*$F244*$G244*$I244*$M244*BW$9)</f>
        <v>0</v>
      </c>
      <c r="BX244" s="37">
        <v>0</v>
      </c>
      <c r="BY244" s="36">
        <f>(BX244/12*2*$E244*$G244*$I244*$M244*BY$9)+(BX244/12*10*$F244*$G244*$I244*$M244*BY$9)</f>
        <v>0</v>
      </c>
      <c r="BZ244" s="37"/>
      <c r="CA244" s="36">
        <f>(BZ244/12*2*$E244*$G244*$I244*$M244*CA$9)+(BZ244/12*10*$F244*$G244*$I244*$M244*CA$9)</f>
        <v>0</v>
      </c>
      <c r="CB244" s="37"/>
      <c r="CC244" s="36">
        <f>(CB244/12*2*$E244*$G244*$I244*$M244*CC$9)+(CB244/12*10*$F244*$G244*$I244*$M244*CC$9)</f>
        <v>0</v>
      </c>
      <c r="CD244" s="37">
        <v>0</v>
      </c>
      <c r="CE244" s="36">
        <f>(CD244/12*2*$E244*$G244*$I244*$M244*CE$9)+(CD244/12*10*$F244*$G244*$I244*$M244*CE$9)</f>
        <v>0</v>
      </c>
      <c r="CF244" s="37">
        <v>0</v>
      </c>
      <c r="CG244" s="36">
        <f>(CF244/12*2*$E244*$G244*$I244*$N244*CG$9)+(CF244/12*10*$F244*$G244*$I244*$N244*CG$9)</f>
        <v>0</v>
      </c>
      <c r="CH244" s="37">
        <v>0</v>
      </c>
      <c r="CI244" s="36">
        <f>(CH244/12*2*$E244*$G244*$I244*$O244*$CI$9)+(CH244/12*10*$F244*$G244*$I244*$O244*$CI$9)</f>
        <v>0</v>
      </c>
      <c r="CJ244" s="36"/>
      <c r="CK244" s="41">
        <f>(CJ244/12*2*$E244*$G244*$I244*$M244)+(CJ244/12*10*$F244*$G244*$I244*$M244)</f>
        <v>0</v>
      </c>
      <c r="CL244" s="41"/>
      <c r="CM244" s="41"/>
      <c r="CN244" s="41"/>
      <c r="CO244" s="41"/>
      <c r="CP244" s="42">
        <f t="shared" si="307"/>
        <v>5</v>
      </c>
      <c r="CQ244" s="42">
        <f t="shared" si="307"/>
        <v>65441.786666666667</v>
      </c>
    </row>
    <row r="245" spans="1:95" s="3" customFormat="1" ht="36.75" hidden="1" customHeight="1" x14ac:dyDescent="0.25">
      <c r="A245" s="54"/>
      <c r="B245" s="54">
        <v>164</v>
      </c>
      <c r="C245" s="54" t="s">
        <v>603</v>
      </c>
      <c r="D245" s="70" t="s">
        <v>604</v>
      </c>
      <c r="E245" s="110">
        <v>16026</v>
      </c>
      <c r="F245" s="110">
        <v>16828</v>
      </c>
      <c r="G245" s="76">
        <v>0.45</v>
      </c>
      <c r="H245" s="84">
        <v>0.3</v>
      </c>
      <c r="I245" s="35">
        <v>1</v>
      </c>
      <c r="J245" s="111"/>
      <c r="K245" s="35"/>
      <c r="L245" s="97">
        <v>1.4</v>
      </c>
      <c r="M245" s="97">
        <v>1.68</v>
      </c>
      <c r="N245" s="97">
        <v>2.23</v>
      </c>
      <c r="O245" s="97">
        <v>2.57</v>
      </c>
      <c r="P245" s="36"/>
      <c r="Q245" s="48">
        <f>(P245/12*2*$E245*$G245*((1-$H245)+$H245*$L245*$I245))+(P245/12*10*$F245*$G245*((1-$H245)+$H245*$L245*$I245))</f>
        <v>0</v>
      </c>
      <c r="R245" s="37"/>
      <c r="S245" s="48">
        <f>(R245/12*2*$E245*$G245*((1-$H245)+$H245*$L245*$I245))+(R245/12*10*$F245*$G245*((1-$H245)+$H245*$L245*$I245))</f>
        <v>0</v>
      </c>
      <c r="T245" s="36"/>
      <c r="U245" s="48">
        <f>(T245/12*2*$E245*$G245*((1-$H245)+$H245*$L245*$I245))+(T245/12*10*$F245*$G245*((1-$H245)+$H245*$L245*$I245))</f>
        <v>0</v>
      </c>
      <c r="V245" s="37"/>
      <c r="W245" s="48">
        <f>(V245/12*2*$E245*$G245*((1-$H245)+$H245*$L245*$I245))+(V245/12*10*$F245*$G245*((1-$H245)+$H245*$L245*$I245))</f>
        <v>0</v>
      </c>
      <c r="X245" s="37"/>
      <c r="Y245" s="48">
        <f>(X245/12*2*$E245*$G245*((1-$H245)+$H245*$L245*$I245))+(X245/12*10*$F245*$G245*((1-$H245)+$H245*$L245*$I245))</f>
        <v>0</v>
      </c>
      <c r="Z245" s="37"/>
      <c r="AA245" s="48">
        <f>(Z245/12*2*$E245*$G245*((1-$H245)+$H245*$L245*$I245))+(Z245/12*10*$F245*$G245*((1-$H245)+$H245*$L245*$I245))</f>
        <v>0</v>
      </c>
      <c r="AB245" s="37"/>
      <c r="AC245" s="48"/>
      <c r="AD245" s="39"/>
      <c r="AE245" s="48">
        <f>(AD245/12*2*$E245*$G245*((1-$H245)+$H245*$L245*$I245))+(AD245/12*10*$F245*$G245*((1-$H245)+$H245*$L245*$I245))</f>
        <v>0</v>
      </c>
      <c r="AF245" s="37"/>
      <c r="AG245" s="48">
        <f>(AF245/12*2*$E245*$G245*((1-$H245)+$H245*$M245*$I245))+(AF245/12*10*$F245*$G245*((1-$H245)+$H245*$M245*$I245))</f>
        <v>0</v>
      </c>
      <c r="AH245" s="37"/>
      <c r="AI245" s="48">
        <f>(AH245/12*2*$E245*$G245*((1-$H245)+$H245*$M245*$I245))+(AH245/12*10*$F245*$G245*((1-$H245)+$H245*$M245*$I245))</f>
        <v>0</v>
      </c>
      <c r="AJ245" s="48">
        <v>0</v>
      </c>
      <c r="AK245" s="48">
        <v>0</v>
      </c>
      <c r="AL245" s="37"/>
      <c r="AM245" s="48">
        <f>(AL245/12*2*$E245*$G245*((1-$H245)+$H245*$L245*$I245))+(AL245/12*10*$F245*$G245*((1-$H245)+$H245*$L245*$I245))</f>
        <v>0</v>
      </c>
      <c r="AN245" s="37"/>
      <c r="AO245" s="48">
        <f>(AN245/12*2*$E245*$G245*((1-$H245)+$H245*$L245*$I245))+(AN245/12*10*$F245*$G245*((1-$H245)+$H245*$L245*$I245))</f>
        <v>0</v>
      </c>
      <c r="AP245" s="37"/>
      <c r="AQ245" s="36"/>
      <c r="AR245" s="37"/>
      <c r="AS245" s="48"/>
      <c r="AT245" s="37"/>
      <c r="AU245" s="36"/>
      <c r="AV245" s="37"/>
      <c r="AW245" s="48"/>
      <c r="AX245" s="37"/>
      <c r="AY245" s="48"/>
      <c r="AZ245" s="37"/>
      <c r="BA245" s="48"/>
      <c r="BB245" s="37"/>
      <c r="BC245" s="48"/>
      <c r="BD245" s="37"/>
      <c r="BE245" s="48">
        <f>(BD245/12*2*$E245*$G245*((1-$H245)+$H245*$L245*$I245*BE$9))+(BD245/12*10*$F245*$G245*((1-$H245)+$H245*$L245*$I245*BE$9))</f>
        <v>0</v>
      </c>
      <c r="BF245" s="37"/>
      <c r="BG245" s="48">
        <f>(BF245/12*2*$E245*$G245*((1-$H245)+$H245*$M245*$I245*BG$9))+(BF245/12*10*$F245*$G245*((1-$H245)+$H245*$M245*$I245*BG$9))</f>
        <v>0</v>
      </c>
      <c r="BH245" s="63"/>
      <c r="BI245" s="48">
        <f>(BH245/12*2*$E245*$G245*((1-$H245)+$H245*$M245*$I245*BI$9))+(BH245/12*10*$F245*$G245*((1-$H245)+$H245*$M245*$I245*BI$9))</f>
        <v>0</v>
      </c>
      <c r="BJ245" s="37"/>
      <c r="BK245" s="48">
        <f>(BJ245/12*2*$E245*$G245*((1-$H245)+$H245*$M245*$I245*BK$9))+(BJ245/12*10*$F245*$G245*((1-$H245)+$H245*$M245*$I245*BK$9))</f>
        <v>0</v>
      </c>
      <c r="BL245" s="37"/>
      <c r="BM245" s="48">
        <f>(BL245/12*2*$E245*$G245*((1-$H245)+$H245*$M245*$I245*BM$9))+(BL245/12*10*$F245*$G245*((1-$H245)+$H245*$M245*$I245*BM$9))</f>
        <v>0</v>
      </c>
      <c r="BN245" s="37"/>
      <c r="BO245" s="48">
        <f>(BN245/12*10*$F245*$G245*((1-$H245)+$H245*$M245*$I245*BO$9))</f>
        <v>0</v>
      </c>
      <c r="BP245" s="39"/>
      <c r="BQ245" s="48"/>
      <c r="BR245" s="37"/>
      <c r="BS245" s="48">
        <f>(BR245/12*10*$F245*$G245*((1-$H245)+$H245*$M245*$I245*BS$9))</f>
        <v>0</v>
      </c>
      <c r="BT245" s="37"/>
      <c r="BU245" s="48">
        <f>(BT245/12*2*$E245*$G245*((1-$H245)+$H245*$M245*$I245*BU$9))+(BT245/12*10*$F245*$G245*((1-$H245)+$H245*$M245*$I245*BU$9))</f>
        <v>0</v>
      </c>
      <c r="BV245" s="36"/>
      <c r="BW245" s="48">
        <f>(BV245/12*2*$E245*$G245*((1-$H245)+$H245*$M245*$I245*BW$9))+(BV245/12*10*$F245*$G245*((1-$H245)+$H245*$M245*$I245*BW$9))</f>
        <v>0</v>
      </c>
      <c r="BX245" s="37"/>
      <c r="BY245" s="48">
        <f>(BX245/12*2*$E245*$G245*((1-$H245)+$H245*$M245*$I245*BY$9))+(BX245/12*10*$F245*$G245*((1-$H245)+$H245*$M245*$I245*BY$9))</f>
        <v>0</v>
      </c>
      <c r="BZ245" s="37"/>
      <c r="CA245" s="48">
        <f>(BZ245/12*2*$E245*$G245*((1-$H245)+$H245*$M245*$I245*CA$9))+(BZ245/12*10*$F245*$G245*((1-$H245)+$H245*$M245*$I245*CA$9))</f>
        <v>0</v>
      </c>
      <c r="CB245" s="37"/>
      <c r="CC245" s="48">
        <f>(CB245/12*2*$E245*$G245*((1-$H245)+$H245*$M245*$I245*CC$9))+(CB245/12*10*$F245*$G245*((1-$H245)+$H245*$M245*$I245*CC$9))</f>
        <v>0</v>
      </c>
      <c r="CD245" s="37"/>
      <c r="CE245" s="48">
        <f>(CD245/12*2*$E245*$G245*((1-$H245)+$H245*$M245*$I245*CE$9))+(CD245/12*10*$F245*$G245*((1-$H245)+$H245*$M245*$I245*CE$9))</f>
        <v>0</v>
      </c>
      <c r="CF245" s="37"/>
      <c r="CG245" s="48">
        <f>(CF245/12*2*$E245*$G245*((1-$H245)+$H245*$N245*$I245*CG$9))+(CF245/12*10*$F245*$G245*((1-$H245)+$H245*$N245*$I245*CG$9))</f>
        <v>0</v>
      </c>
      <c r="CH245" s="37"/>
      <c r="CI245" s="48">
        <f>(CH245/12*2*$E245*$G245*((1-$H245)+$H245*$O245*$I245))+(CH245/12*10*$F245*$G245*((1-$H245)+$H245*$O245*$I245))</f>
        <v>0</v>
      </c>
      <c r="CJ245" s="36"/>
      <c r="CK245" s="36"/>
      <c r="CL245" s="36"/>
      <c r="CM245" s="36"/>
      <c r="CN245" s="41"/>
      <c r="CO245" s="41"/>
      <c r="CP245" s="42">
        <f t="shared" si="307"/>
        <v>0</v>
      </c>
      <c r="CQ245" s="42">
        <f t="shared" si="307"/>
        <v>0</v>
      </c>
    </row>
    <row r="246" spans="1:95" s="3" customFormat="1" ht="60" hidden="1" customHeight="1" x14ac:dyDescent="0.25">
      <c r="A246" s="54"/>
      <c r="B246" s="54">
        <v>165</v>
      </c>
      <c r="C246" s="55" t="s">
        <v>605</v>
      </c>
      <c r="D246" s="121" t="s">
        <v>606</v>
      </c>
      <c r="E246" s="110">
        <v>16026</v>
      </c>
      <c r="F246" s="110">
        <v>16828</v>
      </c>
      <c r="G246" s="33">
        <v>0.46</v>
      </c>
      <c r="H246" s="34"/>
      <c r="I246" s="35">
        <v>1</v>
      </c>
      <c r="J246" s="111"/>
      <c r="K246" s="35"/>
      <c r="L246" s="97">
        <v>1.4</v>
      </c>
      <c r="M246" s="97">
        <v>1.68</v>
      </c>
      <c r="N246" s="97">
        <v>2.23</v>
      </c>
      <c r="O246" s="97">
        <v>2.57</v>
      </c>
      <c r="P246" s="36">
        <v>0</v>
      </c>
      <c r="Q246" s="36">
        <f>SUM(P246/12*2*$E246*$G246*$I246*$L246*$Q$9)+(P246/12*10*$F246*$G246*$I246*$L246*$Q$9)</f>
        <v>0</v>
      </c>
      <c r="R246" s="37">
        <v>0</v>
      </c>
      <c r="S246" s="36">
        <f>SUM(R246/12*2*$E246*$G246*$I246*$L246*S$9)+(R246/12*10*$F246*$G246*$I246*$L246*S$9)</f>
        <v>0</v>
      </c>
      <c r="T246" s="36">
        <v>0</v>
      </c>
      <c r="U246" s="36">
        <f>SUM(T246/12*2*$E246*$G246*$I246*$L246*U$9)+(T246/12*10*$F246*$G246*$I246*$L246*U$9)</f>
        <v>0</v>
      </c>
      <c r="V246" s="37">
        <v>0</v>
      </c>
      <c r="W246" s="36">
        <f>SUM(V246/12*2*$E246*$G246*$I246*$L246*$W$9)+(V246/12*10*$F246*$G246*$I246*$L246*$W$9)</f>
        <v>0</v>
      </c>
      <c r="X246" s="37">
        <v>0</v>
      </c>
      <c r="Y246" s="38">
        <f>SUM(X246/12*2*$E246*$G246*$I246*$L246*Y$9)+(X246/12*10*$F246*$G246*$I246*$L246*Y$9)</f>
        <v>0</v>
      </c>
      <c r="Z246" s="37"/>
      <c r="AA246" s="36"/>
      <c r="AB246" s="37"/>
      <c r="AC246" s="36">
        <f>(AB246/12*2*$E246*$G246*$I246*$L246)+(AB246/12*10*$F246*$G246*$I246*$L246)</f>
        <v>0</v>
      </c>
      <c r="AD246" s="37">
        <v>0</v>
      </c>
      <c r="AE246" s="36">
        <f>(AD246/12*2*$E246*$G246*$I246*$L246*AE$9)+(AD246/12*10*$F246*$G246*$I246*$L246*AE$9)</f>
        <v>0</v>
      </c>
      <c r="AF246" s="37">
        <v>0</v>
      </c>
      <c r="AG246" s="36">
        <f>(AF246/12*2*$E246*$G246*$I246*$M246*AG$9)+(AF246/12*10*$F246*$G246*$I246*$M246*AG$9)</f>
        <v>0</v>
      </c>
      <c r="AH246" s="37"/>
      <c r="AI246" s="36">
        <f>(AH246/12*2*$E246*$G246*$I246*$M246*$AI$9)+(AH246/12*10*$F246*$G246*$I246*$M246*$AI$9)</f>
        <v>0</v>
      </c>
      <c r="AJ246" s="36">
        <v>0</v>
      </c>
      <c r="AK246" s="36">
        <v>0</v>
      </c>
      <c r="AL246" s="37"/>
      <c r="AM246" s="36">
        <f>SUM(AL246/12*2*$E246*$G246*$I246*$L246*AM$9)+(AL246/12*10*$F246*$G246*$I246*$L246*AM$9)</f>
        <v>0</v>
      </c>
      <c r="AN246" s="37">
        <v>0</v>
      </c>
      <c r="AO246" s="36">
        <f>SUM(AN246/12*2*$E246*$G246*$I246*$L246*$AE$9)+(AN246/12*10*$F246*$G246*$I246*$L246*$AE$9)</f>
        <v>0</v>
      </c>
      <c r="AP246" s="37"/>
      <c r="AQ246" s="36"/>
      <c r="AR246" s="37"/>
      <c r="AS246" s="36">
        <f>SUM(AR246/12*2*$E246*$G246*$I246*$L246*AS$9)+(AR246/12*10*$F246*$G246*$I246*$L246*AS$9)</f>
        <v>0</v>
      </c>
      <c r="AT246" s="37"/>
      <c r="AU246" s="36">
        <f>SUM(AT246/12*2*$E246*$G246*$I246*$L246*$AI$9)+(AT246/12*10*$F246*$G246*$I246*$L246*$AI$9)</f>
        <v>0</v>
      </c>
      <c r="AV246" s="37">
        <v>0</v>
      </c>
      <c r="AW246" s="36">
        <f>SUM(AV246/12*2*$E246*$G246*$I246*$L246*AW$9)+(AV246/12*10*$F246*$G246*$I246*$L246*AW$9)</f>
        <v>0</v>
      </c>
      <c r="AX246" s="37">
        <v>0</v>
      </c>
      <c r="AY246" s="36">
        <f>SUM(AX246/12*2*$E246*$G246*$I246*$L246*AY$9)+(AX246/12*10*$F246*$G246*$I246*$L246*AY$9)</f>
        <v>0</v>
      </c>
      <c r="AZ246" s="37">
        <v>0</v>
      </c>
      <c r="BA246" s="36">
        <f>SUM(AZ246/12*2*$E246*$G246*$I246*$L246*BA$9)+(AZ246/12*10*$F246*$G246*$I246*$L246*BA$9)</f>
        <v>0</v>
      </c>
      <c r="BB246" s="37">
        <v>0</v>
      </c>
      <c r="BC246" s="36">
        <f>SUM(BB246/12*2*$E246*$G246*$I246*$L246*BC$9)+(BB246/12*10*$F246*$G246*$I246*$L246*BC$9)</f>
        <v>0</v>
      </c>
      <c r="BD246" s="37"/>
      <c r="BE246" s="36">
        <f>SUM(BD246/12*2*$E246*$G246*$I246*$L246*BE$9)+(BD246/12*10*$F246*$G246*$I246*$L246*BE$9)</f>
        <v>0</v>
      </c>
      <c r="BF246" s="37">
        <v>0</v>
      </c>
      <c r="BG246" s="39">
        <f>(BF246/12*2*$E246*$G246*$I246*$M246*BG$9)+(BF246/12*10*$F246*$G246*$I246*$M246*BG$9)</f>
        <v>0</v>
      </c>
      <c r="BH246" s="60">
        <v>0</v>
      </c>
      <c r="BI246" s="36">
        <f>(BH246/12*2*$E246*$G246*$I246*$M246*BI$9)+(BH246/12*10*$F246*$G246*$I246*$M246*BI$9)</f>
        <v>0</v>
      </c>
      <c r="BJ246" s="37">
        <v>0</v>
      </c>
      <c r="BK246" s="36">
        <f>(BJ246/12*2*$E246*$G246*$I246*$M246*BK$9)+(BJ246/12*10*$F246*$G246*$I246*$M246*BK$9)</f>
        <v>0</v>
      </c>
      <c r="BL246" s="37">
        <v>0</v>
      </c>
      <c r="BM246" s="36">
        <f>(BL246/12*2*$E246*$G246*$I246*$M246*BM$9)+(BL246/12*10*$F246*$G246*$I246*$M246*BM$9)</f>
        <v>0</v>
      </c>
      <c r="BN246" s="37"/>
      <c r="BO246" s="36">
        <f>(BN246/12*10*$F246*$G246*$I246*$M246*BO$9)</f>
        <v>0</v>
      </c>
      <c r="BP246" s="39"/>
      <c r="BQ246" s="36"/>
      <c r="BR246" s="40"/>
      <c r="BS246" s="36">
        <f>(BR246/12*10*$F246*$G246*$I246*$M246*BS$9)</f>
        <v>0</v>
      </c>
      <c r="BT246" s="37"/>
      <c r="BU246" s="36">
        <f>(BT246/12*2*$E246*$G246*$I246*$M246*BU$9)+(BT246/12*10*$F246*$G246*$I246*$M246*BU$9)</f>
        <v>0</v>
      </c>
      <c r="BV246" s="36"/>
      <c r="BW246" s="36">
        <f>(BV246/12*2*$E246*$G246*$I246*$M246*BW$9)+(BV246/12*10*$F246*$G246*$I246*$M246*BW$9)</f>
        <v>0</v>
      </c>
      <c r="BX246" s="37">
        <v>0</v>
      </c>
      <c r="BY246" s="36">
        <f>(BX246/12*2*$E246*$G246*$I246*$M246*BY$9)+(BX246/12*10*$F246*$G246*$I246*$M246*BY$9)</f>
        <v>0</v>
      </c>
      <c r="BZ246" s="37"/>
      <c r="CA246" s="36">
        <f>(BZ246/12*2*$E246*$G246*$I246*$M246*CA$9)+(BZ246/12*10*$F246*$G246*$I246*$M246*CA$9)</f>
        <v>0</v>
      </c>
      <c r="CB246" s="37"/>
      <c r="CC246" s="36">
        <f>(CB246/12*2*$E246*$G246*$I246*$M246*CC$9)+(CB246/12*10*$F246*$G246*$I246*$M246*CC$9)</f>
        <v>0</v>
      </c>
      <c r="CD246" s="37"/>
      <c r="CE246" s="36">
        <f>(CD246/12*2*$E246*$G246*$I246*$M246*CE$9)+(CD246/12*10*$F246*$G246*$I246*$M246*CE$9)</f>
        <v>0</v>
      </c>
      <c r="CF246" s="37"/>
      <c r="CG246" s="36">
        <f>(CF246/12*2*$E246*$G246*$I246*$N246*CG$9)+(CF246/12*10*$F246*$G246*$I246*$N246*CG$9)</f>
        <v>0</v>
      </c>
      <c r="CH246" s="37"/>
      <c r="CI246" s="36">
        <f>(CH246/12*2*$E246*$G246*$I246*$O246*$CI$9)+(CH246/12*10*$F246*$G246*$I246*$O246*$CI$9)</f>
        <v>0</v>
      </c>
      <c r="CJ246" s="36"/>
      <c r="CK246" s="41">
        <f>(CJ246/12*2*$E246*$G246*$I246*$M246)+(CJ246/12*10*$F246*$G246*$I246*$M246)</f>
        <v>0</v>
      </c>
      <c r="CL246" s="41"/>
      <c r="CM246" s="41"/>
      <c r="CN246" s="41"/>
      <c r="CO246" s="41"/>
      <c r="CP246" s="42">
        <f t="shared" si="307"/>
        <v>0</v>
      </c>
      <c r="CQ246" s="42">
        <f t="shared" si="307"/>
        <v>0</v>
      </c>
    </row>
    <row r="247" spans="1:95" s="3" customFormat="1" ht="30" hidden="1" customHeight="1" x14ac:dyDescent="0.25">
      <c r="A247" s="54"/>
      <c r="B247" s="54">
        <v>166</v>
      </c>
      <c r="C247" s="55" t="s">
        <v>607</v>
      </c>
      <c r="D247" s="121" t="s">
        <v>608</v>
      </c>
      <c r="E247" s="110">
        <v>16026</v>
      </c>
      <c r="F247" s="110">
        <v>16828</v>
      </c>
      <c r="G247" s="33">
        <v>7.4</v>
      </c>
      <c r="H247" s="34"/>
      <c r="I247" s="35">
        <v>1</v>
      </c>
      <c r="J247" s="111"/>
      <c r="K247" s="35"/>
      <c r="L247" s="97">
        <v>1.4</v>
      </c>
      <c r="M247" s="97">
        <v>1.68</v>
      </c>
      <c r="N247" s="97">
        <v>2.23</v>
      </c>
      <c r="O247" s="97">
        <v>2.57</v>
      </c>
      <c r="P247" s="36">
        <v>5</v>
      </c>
      <c r="Q247" s="36">
        <f>SUM(P247/12*2*$E247*$G247*$I247*$L247*$Q$9)+(P247/12*10*$F247*$G247*$I247*$L247*$Q$9)</f>
        <v>864766.46666666656</v>
      </c>
      <c r="R247" s="37"/>
      <c r="S247" s="36">
        <f>SUM(R247/12*2*$E247*$G247*$I247*$L247*S$9)+(R247/12*10*$F247*$G247*$I247*$L247*S$9)</f>
        <v>0</v>
      </c>
      <c r="T247" s="36"/>
      <c r="U247" s="36">
        <f>SUM(T247/12*2*$E247*$G247*$I247*$L247*U$9)+(T247/12*10*$F247*$G247*$I247*$L247*U$9)</f>
        <v>0</v>
      </c>
      <c r="V247" s="37"/>
      <c r="W247" s="36">
        <f>SUM(V247/12*2*$E247*$G247*$I247*$L247*$W$9)+(V247/12*10*$F247*$G247*$I247*$L247*$W$9)</f>
        <v>0</v>
      </c>
      <c r="X247" s="37"/>
      <c r="Y247" s="38">
        <f>SUM(X247/12*2*$E247*$G247*$I247*$L247*Y$9)+(X247/12*10*$F247*$G247*$I247*$L247*Y$9)</f>
        <v>0</v>
      </c>
      <c r="Z247" s="37"/>
      <c r="AA247" s="36"/>
      <c r="AB247" s="37"/>
      <c r="AC247" s="36">
        <f>(AB247/12*2*$E247*$G247*$I247*$L247)+(AB247/12*10*$F247*$G247*$I247*$L247)</f>
        <v>0</v>
      </c>
      <c r="AD247" s="37">
        <v>0</v>
      </c>
      <c r="AE247" s="36">
        <f>(AD247/12*2*$E247*$G247*$I247*$L247*AE$9)+(AD247/12*10*$F247*$G247*$I247*$L247*AE$9)</f>
        <v>0</v>
      </c>
      <c r="AF247" s="37">
        <v>0</v>
      </c>
      <c r="AG247" s="36">
        <f>(AF247/12*2*$E247*$G247*$I247*$M247*AG$9)+(AF247/12*10*$F247*$G247*$I247*$M247*AG$9)</f>
        <v>0</v>
      </c>
      <c r="AH247" s="37"/>
      <c r="AI247" s="36">
        <f>(AH247/12*2*$E247*$G247*$I247*$M247*$AI$9)+(AH247/12*10*$F247*$G247*$I247*$M247*$AI$9)</f>
        <v>0</v>
      </c>
      <c r="AJ247" s="36">
        <v>0</v>
      </c>
      <c r="AK247" s="36">
        <v>0</v>
      </c>
      <c r="AL247" s="37"/>
      <c r="AM247" s="36">
        <f>SUM(AL247/12*2*$E247*$G247*$I247*$L247*AM$9)+(AL247/12*10*$F247*$G247*$I247*$L247*AM$9)</f>
        <v>0</v>
      </c>
      <c r="AN247" s="37"/>
      <c r="AO247" s="36">
        <f>SUM(AN247/12*2*$E247*$G247*$I247*$L247*$AE$9)+(AN247/12*10*$F247*$G247*$I247*$L247*$AE$9)</f>
        <v>0</v>
      </c>
      <c r="AP247" s="37"/>
      <c r="AQ247" s="36"/>
      <c r="AR247" s="37"/>
      <c r="AS247" s="36">
        <f>SUM(AR247/12*2*$E247*$G247*$I247*$L247*AS$9)+(AR247/12*10*$F247*$G247*$I247*$L247*AS$9)</f>
        <v>0</v>
      </c>
      <c r="AT247" s="37"/>
      <c r="AU247" s="36">
        <f>SUM(AT247/12*2*$E247*$G247*$I247*$L247*$AI$9)+(AT247/12*10*$F247*$G247*$I247*$L247*$AI$9)</f>
        <v>0</v>
      </c>
      <c r="AV247" s="37"/>
      <c r="AW247" s="36">
        <f>SUM(AV247/12*2*$E247*$G247*$I247*$L247*AW$9)+(AV247/12*10*$F247*$G247*$I247*$L247*AW$9)</f>
        <v>0</v>
      </c>
      <c r="AX247" s="37"/>
      <c r="AY247" s="36">
        <f>SUM(AX247/12*2*$E247*$G247*$I247*$L247*AY$9)+(AX247/12*10*$F247*$G247*$I247*$L247*AY$9)</f>
        <v>0</v>
      </c>
      <c r="AZ247" s="37"/>
      <c r="BA247" s="36">
        <f>SUM(AZ247/12*2*$E247*$G247*$I247*$L247*BA$9)+(AZ247/12*10*$F247*$G247*$I247*$L247*BA$9)</f>
        <v>0</v>
      </c>
      <c r="BB247" s="37"/>
      <c r="BC247" s="36">
        <f>SUM(BB247/12*2*$E247*$G247*$I247*$L247*BC$9)+(BB247/12*10*$F247*$G247*$I247*$L247*BC$9)</f>
        <v>0</v>
      </c>
      <c r="BD247" s="37"/>
      <c r="BE247" s="36">
        <f>SUM(BD247/12*2*$E247*$G247*$I247*$L247*BE$9)+(BD247/12*10*$F247*$G247*$I247*$L247*BE$9)</f>
        <v>0</v>
      </c>
      <c r="BF247" s="37"/>
      <c r="BG247" s="39">
        <f>(BF247/12*2*$E247*$G247*$I247*$M247*BG$9)+(BF247/12*10*$F247*$G247*$I247*$M247*BG$9)</f>
        <v>0</v>
      </c>
      <c r="BH247" s="60"/>
      <c r="BI247" s="36">
        <f>(BH247/12*2*$E247*$G247*$I247*$M247*BI$9)+(BH247/12*10*$F247*$G247*$I247*$M247*BI$9)</f>
        <v>0</v>
      </c>
      <c r="BJ247" s="37"/>
      <c r="BK247" s="36">
        <f>(BJ247/12*2*$E247*$G247*$I247*$M247*BK$9)+(BJ247/12*10*$F247*$G247*$I247*$M247*BK$9)</f>
        <v>0</v>
      </c>
      <c r="BL247" s="37"/>
      <c r="BM247" s="36">
        <f>(BL247/12*2*$E247*$G247*$I247*$M247*BM$9)+(BL247/12*10*$F247*$G247*$I247*$M247*BM$9)</f>
        <v>0</v>
      </c>
      <c r="BN247" s="37"/>
      <c r="BO247" s="36">
        <f>(BN247/12*10*$F247*$G247*$I247*$M247*BO$9)</f>
        <v>0</v>
      </c>
      <c r="BP247" s="39"/>
      <c r="BQ247" s="36"/>
      <c r="BR247" s="37"/>
      <c r="BS247" s="36">
        <f>(BR247/12*10*$F247*$G247*$I247*$M247*BS$9)</f>
        <v>0</v>
      </c>
      <c r="BT247" s="37"/>
      <c r="BU247" s="36">
        <f>(BT247/12*2*$E247*$G247*$I247*$M247*BU$9)+(BT247/12*10*$F247*$G247*$I247*$M247*BU$9)</f>
        <v>0</v>
      </c>
      <c r="BV247" s="36"/>
      <c r="BW247" s="36">
        <f>(BV247/12*2*$E247*$G247*$I247*$M247*BW$9)+(BV247/12*10*$F247*$G247*$I247*$M247*BW$9)</f>
        <v>0</v>
      </c>
      <c r="BX247" s="37"/>
      <c r="BY247" s="36">
        <f>(BX247/12*2*$E247*$G247*$I247*$M247*BY$9)+(BX247/12*10*$F247*$G247*$I247*$M247*BY$9)</f>
        <v>0</v>
      </c>
      <c r="BZ247" s="37"/>
      <c r="CA247" s="36">
        <f>(BZ247/12*2*$E247*$G247*$I247*$M247*CA$9)+(BZ247/12*10*$F247*$G247*$I247*$M247*CA$9)</f>
        <v>0</v>
      </c>
      <c r="CB247" s="37"/>
      <c r="CC247" s="36">
        <f>(CB247/12*2*$E247*$G247*$I247*$M247*CC$9)+(CB247/12*10*$F247*$G247*$I247*$M247*CC$9)</f>
        <v>0</v>
      </c>
      <c r="CD247" s="37"/>
      <c r="CE247" s="36">
        <f>(CD247/12*2*$E247*$G247*$I247*$M247*CE$9)+(CD247/12*10*$F247*$G247*$I247*$M247*CE$9)</f>
        <v>0</v>
      </c>
      <c r="CF247" s="37"/>
      <c r="CG247" s="36">
        <f>(CF247/12*2*$E247*$G247*$I247*$N247*CG$9)+(CF247/12*10*$F247*$G247*$I247*$N247*CG$9)</f>
        <v>0</v>
      </c>
      <c r="CH247" s="37"/>
      <c r="CI247" s="36">
        <f>(CH247/12*2*$E247*$G247*$I247*$O247*$CI$9)+(CH247/12*10*$F247*$G247*$I247*$O247*$CI$9)</f>
        <v>0</v>
      </c>
      <c r="CJ247" s="36"/>
      <c r="CK247" s="41">
        <f>(CJ247/12*2*$E247*$G247*$I247*$M247)+(CJ247/12*10*$F247*$G247*$I247*$M247)</f>
        <v>0</v>
      </c>
      <c r="CL247" s="41">
        <v>5</v>
      </c>
      <c r="CM247" s="41">
        <f>CL247*F247*G247*I247*L247</f>
        <v>871690.39999999991</v>
      </c>
      <c r="CN247" s="41"/>
      <c r="CO247" s="41"/>
      <c r="CP247" s="42">
        <f t="shared" si="307"/>
        <v>10</v>
      </c>
      <c r="CQ247" s="42">
        <f t="shared" si="307"/>
        <v>1736456.8666666665</v>
      </c>
    </row>
    <row r="248" spans="1:95" s="3" customFormat="1" ht="30" hidden="1" customHeight="1" x14ac:dyDescent="0.25">
      <c r="A248" s="54"/>
      <c r="B248" s="54">
        <v>167</v>
      </c>
      <c r="C248" s="55" t="s">
        <v>609</v>
      </c>
      <c r="D248" s="64" t="s">
        <v>610</v>
      </c>
      <c r="E248" s="110">
        <v>16026</v>
      </c>
      <c r="F248" s="110">
        <v>16828</v>
      </c>
      <c r="G248" s="33">
        <v>0.4</v>
      </c>
      <c r="H248" s="34"/>
      <c r="I248" s="57">
        <v>1</v>
      </c>
      <c r="J248" s="115"/>
      <c r="K248" s="57"/>
      <c r="L248" s="65">
        <v>1.4</v>
      </c>
      <c r="M248" s="65">
        <v>1.68</v>
      </c>
      <c r="N248" s="65">
        <v>2.23</v>
      </c>
      <c r="O248" s="65">
        <v>2.57</v>
      </c>
      <c r="P248" s="36">
        <v>2</v>
      </c>
      <c r="Q248" s="36">
        <f>SUM(P248*$F248*$G248*$I248*$L248*$Q$9)</f>
        <v>18847.36</v>
      </c>
      <c r="R248" s="37"/>
      <c r="S248" s="36">
        <f>SUM(R248/12*2*$E248*$G248*$I248*$L248*S$9)+(R248/12*10*$F248*$G248*$I248*$L248*S$9)</f>
        <v>0</v>
      </c>
      <c r="T248" s="36">
        <v>71</v>
      </c>
      <c r="U248" s="36">
        <f>SUM(T248/12*2*$E248*$G248*$I248*$L248*U$9)+(T248/12*10*$F248*$G248*$I248*$L248*U$9)</f>
        <v>663766.69333333336</v>
      </c>
      <c r="V248" s="36">
        <v>22</v>
      </c>
      <c r="W248" s="36">
        <f>SUM(V248/12*2*$E248*$G248*$I248*$L248*$W$9)+(V248/12*10*$F248*$G248*$I248*$L248*$W$9)</f>
        <v>205674.18666666665</v>
      </c>
      <c r="X248" s="37"/>
      <c r="Y248" s="38">
        <f>SUM(X248/12*2*$E248*$G248*$I248*$L248*Y$9)+(X248/12*10*$F248*$G248*$I248*$L248*Y$9)</f>
        <v>0</v>
      </c>
      <c r="Z248" s="37"/>
      <c r="AA248" s="36"/>
      <c r="AB248" s="37">
        <v>0</v>
      </c>
      <c r="AC248" s="36">
        <f>(AB248/12*2*$E248*$G248*$I248*$L248)+(AB248/12*10*$F248*$G248*$I248*$L248)</f>
        <v>0</v>
      </c>
      <c r="AD248" s="37"/>
      <c r="AE248" s="36">
        <f>(AD248/12*2*$E248*$G248*$I248*$L248*AE$9)+(AD248/12*10*$F248*$G248*$I248*$L248*AE$9)</f>
        <v>0</v>
      </c>
      <c r="AF248" s="36"/>
      <c r="AG248" s="36">
        <f>(AF248/12*2*$E248*$G248*$I248*$M248*AG$9)+(AF248/12*10*$F248*$G248*$I248*$M248*AG$9)</f>
        <v>0</v>
      </c>
      <c r="AH248" s="37"/>
      <c r="AI248" s="36">
        <f>(AH248/12*2*$E248*$G248*$I248*$M248*$AI$9)+(AH248/12*10*$F248*$G248*$I248*$M248*$AI$9)</f>
        <v>0</v>
      </c>
      <c r="AJ248" s="36">
        <v>0</v>
      </c>
      <c r="AK248" s="36">
        <v>0</v>
      </c>
      <c r="AL248" s="37"/>
      <c r="AM248" s="36">
        <f>SUM(AL248/12*2*$E248*$G248*$I248*$L248*AM$9)+(AL248/12*10*$F248*$G248*$I248*$L248*AM$9)</f>
        <v>0</v>
      </c>
      <c r="AN248" s="37"/>
      <c r="AO248" s="36">
        <f>SUM(AN248/12*2*$E248*$G248*$I248*$L248*$AE$9)+(AN248/12*10*$F248*$G248*$I248*$L248*$AE$9)</f>
        <v>0</v>
      </c>
      <c r="AP248" s="37"/>
      <c r="AQ248" s="36"/>
      <c r="AR248" s="37"/>
      <c r="AS248" s="36">
        <f>SUM(AR248/12*2*$E248*$G248*$I248*$L248*AS$9)+(AR248/12*10*$F248*$G248*$I248*$L248*AS$9)</f>
        <v>0</v>
      </c>
      <c r="AT248" s="37"/>
      <c r="AU248" s="36">
        <f>SUM(AT248/12*2*$E248*$G248*$I248*$L248*$AI$9)+(AT248/12*10*$F248*$G248*$I248*$L248*$AI$9)</f>
        <v>0</v>
      </c>
      <c r="AV248" s="37"/>
      <c r="AW248" s="36">
        <f>SUM(AV248/12*2*$E248*$G248*$I248*$L248*AW$9)+(AV248/12*10*$F248*$G248*$I248*$L248*AW$9)</f>
        <v>0</v>
      </c>
      <c r="AX248" s="37"/>
      <c r="AY248" s="36">
        <f>SUM(AX248/12*2*$E248*$G248*$I248*$L248*AY$9)+(AX248/12*10*$F248*$G248*$I248*$L248*AY$9)</f>
        <v>0</v>
      </c>
      <c r="AZ248" s="37"/>
      <c r="BA248" s="36">
        <f>SUM(AZ248/12*2*$E248*$G248*$I248*$L248*BA$9)+(AZ248/12*10*$F248*$G248*$I248*$L248*BA$9)</f>
        <v>0</v>
      </c>
      <c r="BB248" s="36"/>
      <c r="BC248" s="36">
        <f>SUM(BB248/12*2*$E248*$G248*$I248*$L248*BC$9)+(BB248/12*10*$F248*$G248*$I248*$L248*BC$9)</f>
        <v>0</v>
      </c>
      <c r="BD248" s="37"/>
      <c r="BE248" s="36">
        <f>SUM(BD248/12*2*$E248*$G248*$I248*$L248*BE$9)+(BD248/12*10*$F248*$G248*$I248*$L248*BE$9)</f>
        <v>0</v>
      </c>
      <c r="BF248" s="37"/>
      <c r="BG248" s="39">
        <f>(BF248/12*2*$E248*$G248*$I248*$M248*BG$9)+(BF248/12*10*$F248*$G248*$I248*$M248*BG$9)</f>
        <v>0</v>
      </c>
      <c r="BH248" s="60"/>
      <c r="BI248" s="36">
        <f>(BH248/12*2*$E248*$G248*$I248*$M248*BI$9)+(BH248/12*10*$F248*$G248*$I248*$M248*BI$9)</f>
        <v>0</v>
      </c>
      <c r="BJ248" s="40"/>
      <c r="BK248" s="36">
        <f>(BJ248/12*2*$E248*$G248*$I248*$M248*BK$9)+(BJ248/12*10*$F248*$G248*$I248*$M248*BK$9)</f>
        <v>0</v>
      </c>
      <c r="BL248" s="37"/>
      <c r="BM248" s="36">
        <f>(BL248/12*2*$E248*$G248*$I248*$M248*BM$9)+(BL248/12*10*$F248*$G248*$I248*$M248*BM$9)</f>
        <v>0</v>
      </c>
      <c r="BN248" s="37"/>
      <c r="BO248" s="36">
        <f>(BN248/12*10*$F248*$G248*$I248*$M248*BO$9)</f>
        <v>0</v>
      </c>
      <c r="BP248" s="59"/>
      <c r="BQ248" s="36"/>
      <c r="BR248" s="40"/>
      <c r="BS248" s="36">
        <f>(BR248/12*10*$F248*$G248*$I248*$M248*BS$9)</f>
        <v>0</v>
      </c>
      <c r="BT248" s="37"/>
      <c r="BU248" s="36">
        <f>(BT248/12*2*$E248*$G248*$I248*$M248*BU$9)+(BT248/12*10*$F248*$G248*$I248*$M248*BU$9)</f>
        <v>0</v>
      </c>
      <c r="BV248" s="36"/>
      <c r="BW248" s="36">
        <f>(BV248/12*2*$E248*$G248*$I248*$M248*BW$9)+(BV248/12*10*$F248*$G248*$I248*$M248*BW$9)</f>
        <v>0</v>
      </c>
      <c r="BX248" s="37"/>
      <c r="BY248" s="36">
        <f>(BX248/12*2*$E248*$G248*$I248*$M248*BY$9)+(BX248/12*10*$F248*$G248*$I248*$M248*BY$9)</f>
        <v>0</v>
      </c>
      <c r="BZ248" s="37"/>
      <c r="CA248" s="36">
        <f>(BZ248/12*2*$E248*$G248*$I248*$M248*CA$9)+(BZ248/12*10*$F248*$G248*$I248*$M248*CA$9)</f>
        <v>0</v>
      </c>
      <c r="CB248" s="37"/>
      <c r="CC248" s="36">
        <f>(CB248/12*2*$E248*$G248*$I248*$M248*CC$9)+(CB248/12*10*$F248*$G248*$I248*$M248*CC$9)</f>
        <v>0</v>
      </c>
      <c r="CD248" s="37"/>
      <c r="CE248" s="36">
        <f>(CD248/12*2*$E248*$G248*$I248*$M248*CE$9)+(CD248/12*10*$F248*$G248*$I248*$M248*CE$9)</f>
        <v>0</v>
      </c>
      <c r="CF248" s="37"/>
      <c r="CG248" s="36">
        <f>(CF248/12*2*$E248*$G248*$I248*$N248*CG$9)+(CF248/12*10*$F248*$G248*$I248*$N248*CG$9)</f>
        <v>0</v>
      </c>
      <c r="CH248" s="40"/>
      <c r="CI248" s="36">
        <f>(CH248/12*2*$E248*$G248*$I248*$O248*$CI$9)+(CH248/12*10*$F248*$G248*$I248*$O248*$CI$9)</f>
        <v>0</v>
      </c>
      <c r="CJ248" s="36"/>
      <c r="CK248" s="41">
        <f>(CJ248/12*2*$E248*$G248*$I248*$M248)+(CJ248/12*10*$F248*$G248*$I248*$M248)</f>
        <v>0</v>
      </c>
      <c r="CL248" s="41"/>
      <c r="CM248" s="41"/>
      <c r="CN248" s="41"/>
      <c r="CO248" s="41"/>
      <c r="CP248" s="42">
        <f t="shared" si="307"/>
        <v>95</v>
      </c>
      <c r="CQ248" s="42">
        <f t="shared" si="307"/>
        <v>888288.24</v>
      </c>
    </row>
    <row r="249" spans="1:95" s="3" customFormat="1" ht="45" hidden="1" customHeight="1" x14ac:dyDescent="0.25">
      <c r="A249" s="54"/>
      <c r="B249" s="54">
        <v>168</v>
      </c>
      <c r="C249" s="85" t="s">
        <v>611</v>
      </c>
      <c r="D249" s="70" t="s">
        <v>612</v>
      </c>
      <c r="E249" s="110">
        <v>16026</v>
      </c>
      <c r="F249" s="110">
        <v>16828</v>
      </c>
      <c r="G249" s="76">
        <v>2.5</v>
      </c>
      <c r="H249" s="77">
        <v>1.09E-2</v>
      </c>
      <c r="I249" s="57">
        <v>1</v>
      </c>
      <c r="J249" s="115"/>
      <c r="K249" s="57"/>
      <c r="L249" s="65">
        <v>1.4</v>
      </c>
      <c r="M249" s="65">
        <v>1.68</v>
      </c>
      <c r="N249" s="65">
        <v>2.23</v>
      </c>
      <c r="O249" s="65">
        <v>2.57</v>
      </c>
      <c r="P249" s="36"/>
      <c r="Q249" s="48">
        <f t="shared" ref="Q249:Q270" si="308">(P249/12*2*$E249*$G249*((1-$H249)+$H249*$L249*$I249))+(P249/12*10*$F249*$G249*((1-$H249)+$H249*$L249*$I249))</f>
        <v>0</v>
      </c>
      <c r="R249" s="37"/>
      <c r="S249" s="48">
        <f t="shared" ref="S249:S271" si="309">(R249/12*2*$E249*$G249*((1-$H249)+$H249*$L249*$I249))+(R249/12*10*$F249*$G249*((1-$H249)+$H249*$L249*$I249))</f>
        <v>0</v>
      </c>
      <c r="T249" s="36"/>
      <c r="U249" s="48">
        <f t="shared" ref="U249:U271" si="310">(T249/12*2*$E249*$G249*((1-$H249)+$H249*$L249*$I249))+(T249/12*10*$F249*$G249*((1-$H249)+$H249*$L249*$I249))</f>
        <v>0</v>
      </c>
      <c r="V249" s="36"/>
      <c r="W249" s="48">
        <f t="shared" ref="W249:W271" si="311">(V249/12*2*$E249*$G249*((1-$H249)+$H249*$L249*$I249))+(V249/12*10*$F249*$G249*((1-$H249)+$H249*$L249*$I249))</f>
        <v>0</v>
      </c>
      <c r="X249" s="37"/>
      <c r="Y249" s="48">
        <f t="shared" ref="Y249:Y271" si="312">(X249/12*2*$E249*$G249*((1-$H249)+$H249*$L249*$I249))+(X249/12*10*$F249*$G249*((1-$H249)+$H249*$L249*$I249))</f>
        <v>0</v>
      </c>
      <c r="Z249" s="37"/>
      <c r="AA249" s="48">
        <f t="shared" ref="AA249:AA271" si="313">(Z249/12*2*$E249*$G249*((1-$H249)+$H249*$L249*$I249))+(Z249/12*10*$F249*$G249*((1-$H249)+$H249*$L249*$I249))</f>
        <v>0</v>
      </c>
      <c r="AB249" s="37"/>
      <c r="AC249" s="48"/>
      <c r="AD249" s="37"/>
      <c r="AE249" s="48">
        <f t="shared" ref="AE249:AE271" si="314">(AD249/12*2*$E249*$G249*((1-$H249)+$H249*$L249*$I249))+(AD249/12*10*$F249*$G249*((1-$H249)+$H249*$L249*$I249))</f>
        <v>0</v>
      </c>
      <c r="AF249" s="36"/>
      <c r="AG249" s="48">
        <f t="shared" ref="AG249:AG271" si="315">(AF249/12*2*$E249*$G249*((1-$H249)+$H249*$M249*$I249))+(AF249/12*10*$F249*$G249*((1-$H249)+$H249*$M249*$I249))</f>
        <v>0</v>
      </c>
      <c r="AH249" s="37"/>
      <c r="AI249" s="48">
        <f t="shared" ref="AI249:AI271" si="316">(AH249/12*2*$E249*$G249*((1-$H249)+$H249*$M249*$I249))+(AH249/12*10*$F249*$G249*((1-$H249)+$H249*$M249*$I249))</f>
        <v>0</v>
      </c>
      <c r="AJ249" s="48">
        <v>0</v>
      </c>
      <c r="AK249" s="48">
        <v>0</v>
      </c>
      <c r="AL249" s="37"/>
      <c r="AM249" s="48">
        <f t="shared" ref="AM249:AM271" si="317">(AL249/12*2*$E249*$G249*((1-$H249)+$H249*$L249*$I249))+(AL249/12*10*$F249*$G249*((1-$H249)+$H249*$L249*$I249))</f>
        <v>0</v>
      </c>
      <c r="AN249" s="37"/>
      <c r="AO249" s="48">
        <f t="shared" ref="AO249:AO271" si="318">(AN249/12*2*$E249*$G249*((1-$H249)+$H249*$L249*$I249))+(AN249/12*10*$F249*$G249*((1-$H249)+$H249*$L249*$I249))</f>
        <v>0</v>
      </c>
      <c r="AP249" s="37"/>
      <c r="AQ249" s="36"/>
      <c r="AR249" s="37"/>
      <c r="AS249" s="48"/>
      <c r="AT249" s="37"/>
      <c r="AU249" s="36"/>
      <c r="AV249" s="37"/>
      <c r="AW249" s="48"/>
      <c r="AX249" s="37"/>
      <c r="AY249" s="48"/>
      <c r="AZ249" s="37"/>
      <c r="BA249" s="48"/>
      <c r="BB249" s="37"/>
      <c r="BC249" s="48"/>
      <c r="BD249" s="37"/>
      <c r="BE249" s="48">
        <f t="shared" ref="BE249:BE271" si="319">(BD249/12*2*$E249*$G249*((1-$H249)+$H249*$L249*$I249*BE$9))+(BD249/12*10*$F249*$G249*((1-$H249)+$H249*$L249*$I249*BE$9))</f>
        <v>0</v>
      </c>
      <c r="BF249" s="37"/>
      <c r="BG249" s="48">
        <f t="shared" ref="BG249:BG271" si="320">(BF249/12*2*$E249*$G249*((1-$H249)+$H249*$M249*$I249*BG$9))+(BF249/12*10*$F249*$G249*((1-$H249)+$H249*$M249*$I249*BG$9))</f>
        <v>0</v>
      </c>
      <c r="BH249" s="63"/>
      <c r="BI249" s="48">
        <f t="shared" ref="BI249:BI271" si="321">(BH249/12*2*$E249*$G249*((1-$H249)+$H249*$M249*$I249*BI$9))+(BH249/12*10*$F249*$G249*((1-$H249)+$H249*$M249*$I249*BI$9))</f>
        <v>0</v>
      </c>
      <c r="BJ249" s="40"/>
      <c r="BK249" s="48">
        <f t="shared" ref="BK249:BK271" si="322">(BJ249/12*2*$E249*$G249*((1-$H249)+$H249*$M249*$I249*BK$9))+(BJ249/12*10*$F249*$G249*((1-$H249)+$H249*$M249*$I249*BK$9))</f>
        <v>0</v>
      </c>
      <c r="BL249" s="36">
        <v>15</v>
      </c>
      <c r="BM249" s="48">
        <f>(BL249/12*2*$E249*$G249*((1-$H249)+$H249*$M249*$I249*BM$9))+(BL249/12*10*$F249*$G249*((1-$H249)+$H249*$M249*$I249*BM$9))</f>
        <v>630677.68995000003</v>
      </c>
      <c r="BN249" s="37"/>
      <c r="BO249" s="48">
        <f t="shared" ref="BO249:BO271" si="323">(BN249/12*10*$F249*$G249*((1-$H249)+$H249*$M249*$I249*BO$9))</f>
        <v>0</v>
      </c>
      <c r="BP249" s="59"/>
      <c r="BQ249" s="48"/>
      <c r="BR249" s="40"/>
      <c r="BS249" s="48">
        <f t="shared" ref="BS249:BS271" si="324">(BR249/12*10*$F249*$G249*((1-$H249)+$H249*$M249*$I249*BS$9))</f>
        <v>0</v>
      </c>
      <c r="BT249" s="37"/>
      <c r="BU249" s="48">
        <f t="shared" ref="BU249:BU271" si="325">(BT249/12*2*$E249*$G249*((1-$H249)+$H249*$M249*$I249*BU$9))+(BT249/12*10*$F249*$G249*((1-$H249)+$H249*$M249*$I249*BU$9))</f>
        <v>0</v>
      </c>
      <c r="BV249" s="36"/>
      <c r="BW249" s="48">
        <f t="shared" ref="BW249:BW271" si="326">(BV249/12*2*$E249*$G249*((1-$H249)+$H249*$M249*$I249*BW$9))+(BV249/12*10*$F249*$G249*((1-$H249)+$H249*$M249*$I249*BW$9))</f>
        <v>0</v>
      </c>
      <c r="BX249" s="37"/>
      <c r="BY249" s="48">
        <f t="shared" ref="BY249:BY271" si="327">(BX249/12*2*$E249*$G249*((1-$H249)+$H249*$M249*$I249*BY$9))+(BX249/12*10*$F249*$G249*((1-$H249)+$H249*$M249*$I249*BY$9))</f>
        <v>0</v>
      </c>
      <c r="BZ249" s="37"/>
      <c r="CA249" s="48">
        <f t="shared" ref="CA249:CA271" si="328">(BZ249/12*2*$E249*$G249*((1-$H249)+$H249*$M249*$I249*CA$9))+(BZ249/12*10*$F249*$G249*((1-$H249)+$H249*$M249*$I249*CA$9))</f>
        <v>0</v>
      </c>
      <c r="CB249" s="37"/>
      <c r="CC249" s="48">
        <f t="shared" ref="CC249:CC271" si="329">(CB249/12*2*$E249*$G249*((1-$H249)+$H249*$M249*$I249*CC$9))+(CB249/12*10*$F249*$G249*((1-$H249)+$H249*$M249*$I249*CC$9))</f>
        <v>0</v>
      </c>
      <c r="CD249" s="37"/>
      <c r="CE249" s="48">
        <f t="shared" ref="CE249:CE271" si="330">(CD249/12*2*$E249*$G249*((1-$H249)+$H249*$M249*$I249*CE$9))+(CD249/12*10*$F249*$G249*((1-$H249)+$H249*$M249*$I249*CE$9))</f>
        <v>0</v>
      </c>
      <c r="CF249" s="37"/>
      <c r="CG249" s="48">
        <f t="shared" ref="CG249:CG271" si="331">(CF249/12*2*$E249*$G249*((1-$H249)+$H249*$N249*$I249*CG$9))+(CF249/12*10*$F249*$G249*((1-$H249)+$H249*$N249*$I249*CG$9))</f>
        <v>0</v>
      </c>
      <c r="CH249" s="40"/>
      <c r="CI249" s="48">
        <f t="shared" ref="CI249:CI271" si="332">(CH249/12*2*$E249*$G249*((1-$H249)+$H249*$O249*$I249))+(CH249/12*10*$F249*$G249*((1-$H249)+$H249*$O249*$I249))</f>
        <v>0</v>
      </c>
      <c r="CJ249" s="36"/>
      <c r="CK249" s="36"/>
      <c r="CL249" s="36"/>
      <c r="CM249" s="36"/>
      <c r="CN249" s="41"/>
      <c r="CO249" s="41"/>
      <c r="CP249" s="42">
        <f t="shared" si="307"/>
        <v>15</v>
      </c>
      <c r="CQ249" s="42">
        <f t="shared" si="307"/>
        <v>630677.68995000003</v>
      </c>
    </row>
    <row r="250" spans="1:95" s="3" customFormat="1" ht="45" hidden="1" customHeight="1" x14ac:dyDescent="0.25">
      <c r="A250" s="54"/>
      <c r="B250" s="54">
        <v>169</v>
      </c>
      <c r="C250" s="85" t="s">
        <v>613</v>
      </c>
      <c r="D250" s="86" t="s">
        <v>614</v>
      </c>
      <c r="E250" s="110">
        <v>16026</v>
      </c>
      <c r="F250" s="110">
        <v>16828</v>
      </c>
      <c r="G250" s="76">
        <v>5.36</v>
      </c>
      <c r="H250" s="77">
        <v>5.1000000000000004E-3</v>
      </c>
      <c r="I250" s="57">
        <v>1</v>
      </c>
      <c r="J250" s="115"/>
      <c r="K250" s="57"/>
      <c r="L250" s="65">
        <v>1.4</v>
      </c>
      <c r="M250" s="65">
        <v>1.68</v>
      </c>
      <c r="N250" s="65">
        <v>2.23</v>
      </c>
      <c r="O250" s="65">
        <v>2.57</v>
      </c>
      <c r="P250" s="36"/>
      <c r="Q250" s="48">
        <f t="shared" si="308"/>
        <v>0</v>
      </c>
      <c r="R250" s="37"/>
      <c r="S250" s="48">
        <f t="shared" si="309"/>
        <v>0</v>
      </c>
      <c r="T250" s="36"/>
      <c r="U250" s="48">
        <f t="shared" si="310"/>
        <v>0</v>
      </c>
      <c r="V250" s="36"/>
      <c r="W250" s="48">
        <f t="shared" si="311"/>
        <v>0</v>
      </c>
      <c r="X250" s="37"/>
      <c r="Y250" s="48">
        <f t="shared" si="312"/>
        <v>0</v>
      </c>
      <c r="Z250" s="37"/>
      <c r="AA250" s="48">
        <f t="shared" si="313"/>
        <v>0</v>
      </c>
      <c r="AB250" s="37"/>
      <c r="AC250" s="48"/>
      <c r="AD250" s="37"/>
      <c r="AE250" s="48">
        <f t="shared" si="314"/>
        <v>0</v>
      </c>
      <c r="AF250" s="36"/>
      <c r="AG250" s="48">
        <f t="shared" si="315"/>
        <v>0</v>
      </c>
      <c r="AH250" s="37"/>
      <c r="AI250" s="48">
        <f t="shared" si="316"/>
        <v>0</v>
      </c>
      <c r="AJ250" s="48">
        <v>0</v>
      </c>
      <c r="AK250" s="48">
        <v>0</v>
      </c>
      <c r="AL250" s="37"/>
      <c r="AM250" s="48">
        <f t="shared" si="317"/>
        <v>0</v>
      </c>
      <c r="AN250" s="37"/>
      <c r="AO250" s="48">
        <f t="shared" si="318"/>
        <v>0</v>
      </c>
      <c r="AP250" s="37"/>
      <c r="AQ250" s="36"/>
      <c r="AR250" s="37"/>
      <c r="AS250" s="48"/>
      <c r="AT250" s="37"/>
      <c r="AU250" s="36"/>
      <c r="AV250" s="37"/>
      <c r="AW250" s="48"/>
      <c r="AX250" s="37"/>
      <c r="AY250" s="48"/>
      <c r="AZ250" s="37"/>
      <c r="BA250" s="48"/>
      <c r="BB250" s="37"/>
      <c r="BC250" s="48"/>
      <c r="BD250" s="37"/>
      <c r="BE250" s="48">
        <f t="shared" si="319"/>
        <v>0</v>
      </c>
      <c r="BF250" s="37"/>
      <c r="BG250" s="48">
        <f t="shared" si="320"/>
        <v>0</v>
      </c>
      <c r="BH250" s="63"/>
      <c r="BI250" s="48">
        <f t="shared" si="321"/>
        <v>0</v>
      </c>
      <c r="BJ250" s="40"/>
      <c r="BK250" s="48">
        <f t="shared" si="322"/>
        <v>0</v>
      </c>
      <c r="BL250" s="36">
        <v>150</v>
      </c>
      <c r="BM250" s="48">
        <f>(BL250/12*2*$E250*$G250*((1-$H250)+$H250*$M250*$I250*BM$9))+(BL250/12*10*$F250*$G250*((1-$H250)+$H250*$M250*$I250*BM$9))</f>
        <v>13468792.342192</v>
      </c>
      <c r="BN250" s="37"/>
      <c r="BO250" s="48">
        <f t="shared" si="323"/>
        <v>0</v>
      </c>
      <c r="BP250" s="59"/>
      <c r="BQ250" s="48"/>
      <c r="BR250" s="40"/>
      <c r="BS250" s="48">
        <f t="shared" si="324"/>
        <v>0</v>
      </c>
      <c r="BT250" s="37"/>
      <c r="BU250" s="48">
        <f t="shared" si="325"/>
        <v>0</v>
      </c>
      <c r="BV250" s="36"/>
      <c r="BW250" s="48">
        <f t="shared" si="326"/>
        <v>0</v>
      </c>
      <c r="BX250" s="37"/>
      <c r="BY250" s="48">
        <f t="shared" si="327"/>
        <v>0</v>
      </c>
      <c r="BZ250" s="37"/>
      <c r="CA250" s="48">
        <f t="shared" si="328"/>
        <v>0</v>
      </c>
      <c r="CB250" s="37"/>
      <c r="CC250" s="48">
        <f t="shared" si="329"/>
        <v>0</v>
      </c>
      <c r="CD250" s="37"/>
      <c r="CE250" s="48">
        <f t="shared" si="330"/>
        <v>0</v>
      </c>
      <c r="CF250" s="37"/>
      <c r="CG250" s="48">
        <f t="shared" si="331"/>
        <v>0</v>
      </c>
      <c r="CH250" s="40"/>
      <c r="CI250" s="48">
        <f t="shared" si="332"/>
        <v>0</v>
      </c>
      <c r="CJ250" s="36"/>
      <c r="CK250" s="36"/>
      <c r="CL250" s="36"/>
      <c r="CM250" s="36"/>
      <c r="CN250" s="41"/>
      <c r="CO250" s="41"/>
      <c r="CP250" s="42">
        <f t="shared" si="307"/>
        <v>150</v>
      </c>
      <c r="CQ250" s="42">
        <f t="shared" si="307"/>
        <v>13468792.342192</v>
      </c>
    </row>
    <row r="251" spans="1:95" s="3" customFormat="1" ht="42.75" hidden="1" customHeight="1" x14ac:dyDescent="0.25">
      <c r="A251" s="54"/>
      <c r="B251" s="54">
        <v>170</v>
      </c>
      <c r="C251" s="85" t="s">
        <v>615</v>
      </c>
      <c r="D251" s="70" t="s">
        <v>616</v>
      </c>
      <c r="E251" s="110">
        <v>16026</v>
      </c>
      <c r="F251" s="110">
        <v>16828</v>
      </c>
      <c r="G251" s="76">
        <v>4.0599999999999996</v>
      </c>
      <c r="H251" s="77">
        <v>0.1794</v>
      </c>
      <c r="I251" s="57">
        <v>1</v>
      </c>
      <c r="J251" s="115"/>
      <c r="K251" s="57"/>
      <c r="L251" s="65">
        <v>1.4</v>
      </c>
      <c r="M251" s="65">
        <v>1.68</v>
      </c>
      <c r="N251" s="65">
        <v>2.23</v>
      </c>
      <c r="O251" s="65">
        <v>2.57</v>
      </c>
      <c r="P251" s="36"/>
      <c r="Q251" s="48">
        <f t="shared" si="308"/>
        <v>0</v>
      </c>
      <c r="R251" s="37"/>
      <c r="S251" s="48">
        <f t="shared" si="309"/>
        <v>0</v>
      </c>
      <c r="T251" s="36"/>
      <c r="U251" s="48">
        <f t="shared" si="310"/>
        <v>0</v>
      </c>
      <c r="V251" s="36"/>
      <c r="W251" s="48">
        <f t="shared" si="311"/>
        <v>0</v>
      </c>
      <c r="X251" s="37"/>
      <c r="Y251" s="48">
        <f t="shared" si="312"/>
        <v>0</v>
      </c>
      <c r="Z251" s="37"/>
      <c r="AA251" s="48">
        <f t="shared" si="313"/>
        <v>0</v>
      </c>
      <c r="AB251" s="37"/>
      <c r="AC251" s="48"/>
      <c r="AD251" s="37"/>
      <c r="AE251" s="48">
        <f t="shared" si="314"/>
        <v>0</v>
      </c>
      <c r="AF251" s="36"/>
      <c r="AG251" s="48">
        <f t="shared" si="315"/>
        <v>0</v>
      </c>
      <c r="AH251" s="37"/>
      <c r="AI251" s="48">
        <f t="shared" si="316"/>
        <v>0</v>
      </c>
      <c r="AJ251" s="48">
        <v>0</v>
      </c>
      <c r="AK251" s="48">
        <v>0</v>
      </c>
      <c r="AL251" s="37"/>
      <c r="AM251" s="48">
        <f t="shared" si="317"/>
        <v>0</v>
      </c>
      <c r="AN251" s="37"/>
      <c r="AO251" s="48">
        <f t="shared" si="318"/>
        <v>0</v>
      </c>
      <c r="AP251" s="37"/>
      <c r="AQ251" s="36"/>
      <c r="AR251" s="37"/>
      <c r="AS251" s="48"/>
      <c r="AT251" s="37"/>
      <c r="AU251" s="36"/>
      <c r="AV251" s="37"/>
      <c r="AW251" s="48"/>
      <c r="AX251" s="37"/>
      <c r="AY251" s="48"/>
      <c r="AZ251" s="37"/>
      <c r="BA251" s="48"/>
      <c r="BB251" s="37"/>
      <c r="BC251" s="48"/>
      <c r="BD251" s="37"/>
      <c r="BE251" s="48">
        <f t="shared" si="319"/>
        <v>0</v>
      </c>
      <c r="BF251" s="37"/>
      <c r="BG251" s="48">
        <f t="shared" si="320"/>
        <v>0</v>
      </c>
      <c r="BH251" s="63"/>
      <c r="BI251" s="48">
        <f t="shared" si="321"/>
        <v>0</v>
      </c>
      <c r="BJ251" s="40"/>
      <c r="BK251" s="48">
        <f t="shared" si="322"/>
        <v>0</v>
      </c>
      <c r="BL251" s="36"/>
      <c r="BM251" s="48">
        <f t="shared" ref="BM251:BM271" si="333">(BL251/12*2*$E251*$G251*((1-$H251)+$H251*$M251*$I251*BM$9))+(BL251/12*10*$F251*$G251*((1-$H251)+$H251*$M251*$I251*BM$9))</f>
        <v>0</v>
      </c>
      <c r="BN251" s="37"/>
      <c r="BO251" s="48">
        <f t="shared" si="323"/>
        <v>0</v>
      </c>
      <c r="BP251" s="59"/>
      <c r="BQ251" s="48"/>
      <c r="BR251" s="40"/>
      <c r="BS251" s="48">
        <f t="shared" si="324"/>
        <v>0</v>
      </c>
      <c r="BT251" s="37"/>
      <c r="BU251" s="48">
        <f t="shared" si="325"/>
        <v>0</v>
      </c>
      <c r="BV251" s="36"/>
      <c r="BW251" s="48">
        <f t="shared" si="326"/>
        <v>0</v>
      </c>
      <c r="BX251" s="37"/>
      <c r="BY251" s="48">
        <f t="shared" si="327"/>
        <v>0</v>
      </c>
      <c r="BZ251" s="37"/>
      <c r="CA251" s="48">
        <f t="shared" si="328"/>
        <v>0</v>
      </c>
      <c r="CB251" s="37"/>
      <c r="CC251" s="48">
        <f t="shared" si="329"/>
        <v>0</v>
      </c>
      <c r="CD251" s="37"/>
      <c r="CE251" s="48">
        <f t="shared" si="330"/>
        <v>0</v>
      </c>
      <c r="CF251" s="37"/>
      <c r="CG251" s="48">
        <f t="shared" si="331"/>
        <v>0</v>
      </c>
      <c r="CH251" s="40"/>
      <c r="CI251" s="48">
        <f t="shared" si="332"/>
        <v>0</v>
      </c>
      <c r="CJ251" s="36"/>
      <c r="CK251" s="36"/>
      <c r="CL251" s="36"/>
      <c r="CM251" s="36"/>
      <c r="CN251" s="41"/>
      <c r="CO251" s="41"/>
      <c r="CP251" s="42">
        <f t="shared" si="307"/>
        <v>0</v>
      </c>
      <c r="CQ251" s="42">
        <f t="shared" si="307"/>
        <v>0</v>
      </c>
    </row>
    <row r="252" spans="1:95" s="3" customFormat="1" ht="45" hidden="1" customHeight="1" x14ac:dyDescent="0.25">
      <c r="A252" s="54"/>
      <c r="B252" s="54">
        <v>171</v>
      </c>
      <c r="C252" s="54" t="s">
        <v>617</v>
      </c>
      <c r="D252" s="55" t="s">
        <v>618</v>
      </c>
      <c r="E252" s="110">
        <v>16026</v>
      </c>
      <c r="F252" s="110">
        <v>16828</v>
      </c>
      <c r="G252" s="87">
        <v>0.53</v>
      </c>
      <c r="H252" s="77">
        <v>4.6600000000000003E-2</v>
      </c>
      <c r="I252" s="57">
        <v>1</v>
      </c>
      <c r="J252" s="115"/>
      <c r="K252" s="57"/>
      <c r="L252" s="65">
        <v>1.4</v>
      </c>
      <c r="M252" s="65">
        <v>1.68</v>
      </c>
      <c r="N252" s="65">
        <v>2.23</v>
      </c>
      <c r="O252" s="65">
        <v>2.57</v>
      </c>
      <c r="P252" s="36">
        <v>1</v>
      </c>
      <c r="Q252" s="48">
        <f t="shared" si="308"/>
        <v>9012.9233245333344</v>
      </c>
      <c r="R252" s="37"/>
      <c r="S252" s="48">
        <f t="shared" si="309"/>
        <v>0</v>
      </c>
      <c r="T252" s="36"/>
      <c r="U252" s="48">
        <f t="shared" si="310"/>
        <v>0</v>
      </c>
      <c r="V252" s="36"/>
      <c r="W252" s="48">
        <f t="shared" si="311"/>
        <v>0</v>
      </c>
      <c r="X252" s="37"/>
      <c r="Y252" s="48">
        <f t="shared" si="312"/>
        <v>0</v>
      </c>
      <c r="Z252" s="37"/>
      <c r="AA252" s="48">
        <f t="shared" si="313"/>
        <v>0</v>
      </c>
      <c r="AB252" s="37"/>
      <c r="AC252" s="48"/>
      <c r="AD252" s="37"/>
      <c r="AE252" s="48">
        <f t="shared" si="314"/>
        <v>0</v>
      </c>
      <c r="AF252" s="36"/>
      <c r="AG252" s="48">
        <f t="shared" si="315"/>
        <v>0</v>
      </c>
      <c r="AH252" s="37"/>
      <c r="AI252" s="48">
        <f t="shared" si="316"/>
        <v>0</v>
      </c>
      <c r="AJ252" s="48">
        <v>0</v>
      </c>
      <c r="AK252" s="48">
        <v>0</v>
      </c>
      <c r="AL252" s="37"/>
      <c r="AM252" s="48">
        <f t="shared" si="317"/>
        <v>0</v>
      </c>
      <c r="AN252" s="37"/>
      <c r="AO252" s="48">
        <f t="shared" si="318"/>
        <v>0</v>
      </c>
      <c r="AP252" s="37"/>
      <c r="AQ252" s="36"/>
      <c r="AR252" s="37"/>
      <c r="AS252" s="48"/>
      <c r="AT252" s="37"/>
      <c r="AU252" s="36"/>
      <c r="AV252" s="37"/>
      <c r="AW252" s="48"/>
      <c r="AX252" s="37"/>
      <c r="AY252" s="48"/>
      <c r="AZ252" s="37"/>
      <c r="BA252" s="48"/>
      <c r="BB252" s="37"/>
      <c r="BC252" s="48"/>
      <c r="BD252" s="37"/>
      <c r="BE252" s="48">
        <f t="shared" si="319"/>
        <v>0</v>
      </c>
      <c r="BF252" s="37"/>
      <c r="BG252" s="48">
        <f t="shared" si="320"/>
        <v>0</v>
      </c>
      <c r="BH252" s="63"/>
      <c r="BI252" s="48">
        <f t="shared" si="321"/>
        <v>0</v>
      </c>
      <c r="BJ252" s="40"/>
      <c r="BK252" s="48">
        <f t="shared" si="322"/>
        <v>0</v>
      </c>
      <c r="BL252" s="36"/>
      <c r="BM252" s="48">
        <f t="shared" si="333"/>
        <v>0</v>
      </c>
      <c r="BN252" s="37"/>
      <c r="BO252" s="48">
        <f t="shared" si="323"/>
        <v>0</v>
      </c>
      <c r="BP252" s="59"/>
      <c r="BQ252" s="48"/>
      <c r="BR252" s="40"/>
      <c r="BS252" s="48">
        <f t="shared" si="324"/>
        <v>0</v>
      </c>
      <c r="BT252" s="37"/>
      <c r="BU252" s="48">
        <f t="shared" si="325"/>
        <v>0</v>
      </c>
      <c r="BV252" s="36"/>
      <c r="BW252" s="48">
        <f t="shared" si="326"/>
        <v>0</v>
      </c>
      <c r="BX252" s="37"/>
      <c r="BY252" s="48">
        <f t="shared" si="327"/>
        <v>0</v>
      </c>
      <c r="BZ252" s="37"/>
      <c r="CA252" s="48">
        <f t="shared" si="328"/>
        <v>0</v>
      </c>
      <c r="CB252" s="37"/>
      <c r="CC252" s="48">
        <f t="shared" si="329"/>
        <v>0</v>
      </c>
      <c r="CD252" s="37"/>
      <c r="CE252" s="48">
        <f t="shared" si="330"/>
        <v>0</v>
      </c>
      <c r="CF252" s="37"/>
      <c r="CG252" s="48">
        <f t="shared" si="331"/>
        <v>0</v>
      </c>
      <c r="CH252" s="40"/>
      <c r="CI252" s="48">
        <f t="shared" si="332"/>
        <v>0</v>
      </c>
      <c r="CJ252" s="36"/>
      <c r="CK252" s="36"/>
      <c r="CL252" s="36"/>
      <c r="CM252" s="36"/>
      <c r="CN252" s="41"/>
      <c r="CO252" s="41"/>
      <c r="CP252" s="42">
        <f t="shared" si="307"/>
        <v>1</v>
      </c>
      <c r="CQ252" s="42">
        <f t="shared" si="307"/>
        <v>9012.9233245333344</v>
      </c>
    </row>
    <row r="253" spans="1:95" s="3" customFormat="1" ht="45" hidden="1" customHeight="1" x14ac:dyDescent="0.25">
      <c r="A253" s="54"/>
      <c r="B253" s="54">
        <v>172</v>
      </c>
      <c r="C253" s="54" t="s">
        <v>619</v>
      </c>
      <c r="D253" s="55" t="s">
        <v>620</v>
      </c>
      <c r="E253" s="110">
        <v>16026</v>
      </c>
      <c r="F253" s="110">
        <v>16828</v>
      </c>
      <c r="G253" s="87">
        <v>0.79</v>
      </c>
      <c r="H253" s="71">
        <v>3.1E-2</v>
      </c>
      <c r="I253" s="57">
        <v>1</v>
      </c>
      <c r="J253" s="115"/>
      <c r="K253" s="57"/>
      <c r="L253" s="65">
        <v>1.4</v>
      </c>
      <c r="M253" s="65">
        <v>1.68</v>
      </c>
      <c r="N253" s="65">
        <v>2.23</v>
      </c>
      <c r="O253" s="65">
        <v>2.57</v>
      </c>
      <c r="P253" s="36">
        <v>1</v>
      </c>
      <c r="Q253" s="48">
        <f t="shared" si="308"/>
        <v>13352.061022666665</v>
      </c>
      <c r="R253" s="37"/>
      <c r="S253" s="48">
        <f t="shared" si="309"/>
        <v>0</v>
      </c>
      <c r="T253" s="36"/>
      <c r="U253" s="48">
        <f t="shared" si="310"/>
        <v>0</v>
      </c>
      <c r="V253" s="36"/>
      <c r="W253" s="48">
        <f t="shared" si="311"/>
        <v>0</v>
      </c>
      <c r="X253" s="37"/>
      <c r="Y253" s="48">
        <f t="shared" si="312"/>
        <v>0</v>
      </c>
      <c r="Z253" s="37"/>
      <c r="AA253" s="48">
        <f t="shared" si="313"/>
        <v>0</v>
      </c>
      <c r="AB253" s="37"/>
      <c r="AC253" s="48"/>
      <c r="AD253" s="37"/>
      <c r="AE253" s="48">
        <f t="shared" si="314"/>
        <v>0</v>
      </c>
      <c r="AF253" s="36"/>
      <c r="AG253" s="48">
        <f t="shared" si="315"/>
        <v>0</v>
      </c>
      <c r="AH253" s="37"/>
      <c r="AI253" s="48">
        <f t="shared" si="316"/>
        <v>0</v>
      </c>
      <c r="AJ253" s="48">
        <v>0</v>
      </c>
      <c r="AK253" s="48">
        <v>0</v>
      </c>
      <c r="AL253" s="37"/>
      <c r="AM253" s="48">
        <f t="shared" si="317"/>
        <v>0</v>
      </c>
      <c r="AN253" s="37"/>
      <c r="AO253" s="48">
        <f t="shared" si="318"/>
        <v>0</v>
      </c>
      <c r="AP253" s="37"/>
      <c r="AQ253" s="36"/>
      <c r="AR253" s="37"/>
      <c r="AS253" s="48"/>
      <c r="AT253" s="37"/>
      <c r="AU253" s="36"/>
      <c r="AV253" s="37"/>
      <c r="AW253" s="48"/>
      <c r="AX253" s="37"/>
      <c r="AY253" s="48"/>
      <c r="AZ253" s="37"/>
      <c r="BA253" s="48"/>
      <c r="BB253" s="37"/>
      <c r="BC253" s="48"/>
      <c r="BD253" s="37"/>
      <c r="BE253" s="48">
        <f t="shared" si="319"/>
        <v>0</v>
      </c>
      <c r="BF253" s="37"/>
      <c r="BG253" s="48">
        <f t="shared" si="320"/>
        <v>0</v>
      </c>
      <c r="BH253" s="63"/>
      <c r="BI253" s="48">
        <f t="shared" si="321"/>
        <v>0</v>
      </c>
      <c r="BJ253" s="40"/>
      <c r="BK253" s="48">
        <f t="shared" si="322"/>
        <v>0</v>
      </c>
      <c r="BL253" s="37"/>
      <c r="BM253" s="48">
        <f t="shared" si="333"/>
        <v>0</v>
      </c>
      <c r="BN253" s="37"/>
      <c r="BO253" s="48">
        <f t="shared" si="323"/>
        <v>0</v>
      </c>
      <c r="BP253" s="59"/>
      <c r="BQ253" s="48"/>
      <c r="BR253" s="40"/>
      <c r="BS253" s="48">
        <f t="shared" si="324"/>
        <v>0</v>
      </c>
      <c r="BT253" s="37"/>
      <c r="BU253" s="48">
        <f t="shared" si="325"/>
        <v>0</v>
      </c>
      <c r="BV253" s="36"/>
      <c r="BW253" s="48">
        <f t="shared" si="326"/>
        <v>0</v>
      </c>
      <c r="BX253" s="37"/>
      <c r="BY253" s="48">
        <f t="shared" si="327"/>
        <v>0</v>
      </c>
      <c r="BZ253" s="37"/>
      <c r="CA253" s="48">
        <f t="shared" si="328"/>
        <v>0</v>
      </c>
      <c r="CB253" s="37"/>
      <c r="CC253" s="48">
        <f t="shared" si="329"/>
        <v>0</v>
      </c>
      <c r="CD253" s="37"/>
      <c r="CE253" s="48">
        <f t="shared" si="330"/>
        <v>0</v>
      </c>
      <c r="CF253" s="37"/>
      <c r="CG253" s="48">
        <f t="shared" si="331"/>
        <v>0</v>
      </c>
      <c r="CH253" s="40"/>
      <c r="CI253" s="48">
        <f t="shared" si="332"/>
        <v>0</v>
      </c>
      <c r="CJ253" s="36"/>
      <c r="CK253" s="36"/>
      <c r="CL253" s="36"/>
      <c r="CM253" s="36"/>
      <c r="CN253" s="41"/>
      <c r="CO253" s="41"/>
      <c r="CP253" s="42">
        <f t="shared" si="307"/>
        <v>1</v>
      </c>
      <c r="CQ253" s="42">
        <f t="shared" si="307"/>
        <v>13352.061022666665</v>
      </c>
    </row>
    <row r="254" spans="1:95" s="3" customFormat="1" ht="45" hidden="1" customHeight="1" x14ac:dyDescent="0.25">
      <c r="A254" s="54"/>
      <c r="B254" s="54">
        <v>173</v>
      </c>
      <c r="C254" s="54" t="s">
        <v>621</v>
      </c>
      <c r="D254" s="55" t="s">
        <v>622</v>
      </c>
      <c r="E254" s="110">
        <v>16026</v>
      </c>
      <c r="F254" s="110">
        <v>16828</v>
      </c>
      <c r="G254" s="87">
        <v>1.3</v>
      </c>
      <c r="H254" s="71">
        <v>1.8800000000000001E-2</v>
      </c>
      <c r="I254" s="57">
        <v>1</v>
      </c>
      <c r="J254" s="115"/>
      <c r="K254" s="57"/>
      <c r="L254" s="65">
        <v>1.4</v>
      </c>
      <c r="M254" s="65">
        <v>1.68</v>
      </c>
      <c r="N254" s="65">
        <v>2.23</v>
      </c>
      <c r="O254" s="65">
        <v>2.57</v>
      </c>
      <c r="P254" s="36">
        <v>1</v>
      </c>
      <c r="Q254" s="48">
        <f t="shared" si="308"/>
        <v>21865.837135999998</v>
      </c>
      <c r="R254" s="37"/>
      <c r="S254" s="48">
        <f t="shared" si="309"/>
        <v>0</v>
      </c>
      <c r="T254" s="36"/>
      <c r="U254" s="48">
        <f t="shared" si="310"/>
        <v>0</v>
      </c>
      <c r="V254" s="36"/>
      <c r="W254" s="48">
        <f t="shared" si="311"/>
        <v>0</v>
      </c>
      <c r="X254" s="37"/>
      <c r="Y254" s="48">
        <f t="shared" si="312"/>
        <v>0</v>
      </c>
      <c r="Z254" s="37"/>
      <c r="AA254" s="48">
        <f t="shared" si="313"/>
        <v>0</v>
      </c>
      <c r="AB254" s="37"/>
      <c r="AC254" s="48"/>
      <c r="AD254" s="37"/>
      <c r="AE254" s="48">
        <f t="shared" si="314"/>
        <v>0</v>
      </c>
      <c r="AF254" s="36"/>
      <c r="AG254" s="48">
        <f t="shared" si="315"/>
        <v>0</v>
      </c>
      <c r="AH254" s="37"/>
      <c r="AI254" s="48">
        <f t="shared" si="316"/>
        <v>0</v>
      </c>
      <c r="AJ254" s="48">
        <v>0</v>
      </c>
      <c r="AK254" s="48">
        <v>0</v>
      </c>
      <c r="AL254" s="37"/>
      <c r="AM254" s="48">
        <f t="shared" si="317"/>
        <v>0</v>
      </c>
      <c r="AN254" s="37"/>
      <c r="AO254" s="48">
        <f t="shared" si="318"/>
        <v>0</v>
      </c>
      <c r="AP254" s="37"/>
      <c r="AQ254" s="36"/>
      <c r="AR254" s="37"/>
      <c r="AS254" s="48"/>
      <c r="AT254" s="37"/>
      <c r="AU254" s="36"/>
      <c r="AV254" s="37"/>
      <c r="AW254" s="48"/>
      <c r="AX254" s="37"/>
      <c r="AY254" s="48"/>
      <c r="AZ254" s="37"/>
      <c r="BA254" s="48"/>
      <c r="BB254" s="37"/>
      <c r="BC254" s="48"/>
      <c r="BD254" s="37"/>
      <c r="BE254" s="48">
        <f t="shared" si="319"/>
        <v>0</v>
      </c>
      <c r="BF254" s="37"/>
      <c r="BG254" s="48">
        <f t="shared" si="320"/>
        <v>0</v>
      </c>
      <c r="BH254" s="63"/>
      <c r="BI254" s="48">
        <f t="shared" si="321"/>
        <v>0</v>
      </c>
      <c r="BJ254" s="40"/>
      <c r="BK254" s="48">
        <f t="shared" si="322"/>
        <v>0</v>
      </c>
      <c r="BL254" s="36"/>
      <c r="BM254" s="48">
        <f t="shared" si="333"/>
        <v>0</v>
      </c>
      <c r="BN254" s="37"/>
      <c r="BO254" s="48">
        <f t="shared" si="323"/>
        <v>0</v>
      </c>
      <c r="BP254" s="59"/>
      <c r="BQ254" s="48"/>
      <c r="BR254" s="40"/>
      <c r="BS254" s="48">
        <f t="shared" si="324"/>
        <v>0</v>
      </c>
      <c r="BT254" s="37"/>
      <c r="BU254" s="48">
        <f t="shared" si="325"/>
        <v>0</v>
      </c>
      <c r="BV254" s="36"/>
      <c r="BW254" s="48">
        <f t="shared" si="326"/>
        <v>0</v>
      </c>
      <c r="BX254" s="37"/>
      <c r="BY254" s="48">
        <f t="shared" si="327"/>
        <v>0</v>
      </c>
      <c r="BZ254" s="37"/>
      <c r="CA254" s="48">
        <f t="shared" si="328"/>
        <v>0</v>
      </c>
      <c r="CB254" s="37"/>
      <c r="CC254" s="48">
        <f t="shared" si="329"/>
        <v>0</v>
      </c>
      <c r="CD254" s="37"/>
      <c r="CE254" s="48">
        <f t="shared" si="330"/>
        <v>0</v>
      </c>
      <c r="CF254" s="37"/>
      <c r="CG254" s="48">
        <f t="shared" si="331"/>
        <v>0</v>
      </c>
      <c r="CH254" s="40"/>
      <c r="CI254" s="48">
        <f t="shared" si="332"/>
        <v>0</v>
      </c>
      <c r="CJ254" s="36"/>
      <c r="CK254" s="36"/>
      <c r="CL254" s="36"/>
      <c r="CM254" s="36"/>
      <c r="CN254" s="41"/>
      <c r="CO254" s="41"/>
      <c r="CP254" s="42">
        <f t="shared" si="307"/>
        <v>1</v>
      </c>
      <c r="CQ254" s="42">
        <f t="shared" si="307"/>
        <v>21865.837135999998</v>
      </c>
    </row>
    <row r="255" spans="1:95" s="3" customFormat="1" ht="45" hidden="1" customHeight="1" x14ac:dyDescent="0.25">
      <c r="A255" s="54"/>
      <c r="B255" s="54">
        <v>174</v>
      </c>
      <c r="C255" s="54" t="s">
        <v>623</v>
      </c>
      <c r="D255" s="55" t="s">
        <v>624</v>
      </c>
      <c r="E255" s="110">
        <v>16026</v>
      </c>
      <c r="F255" s="110">
        <v>16828</v>
      </c>
      <c r="G255" s="87">
        <v>1.75</v>
      </c>
      <c r="H255" s="71">
        <v>1.44E-2</v>
      </c>
      <c r="I255" s="57">
        <v>1</v>
      </c>
      <c r="J255" s="115"/>
      <c r="K255" s="57"/>
      <c r="L255" s="65">
        <v>1.4</v>
      </c>
      <c r="M255" s="65">
        <v>1.68</v>
      </c>
      <c r="N255" s="65">
        <v>2.23</v>
      </c>
      <c r="O255" s="65">
        <v>2.57</v>
      </c>
      <c r="P255" s="36"/>
      <c r="Q255" s="48">
        <f t="shared" si="308"/>
        <v>0</v>
      </c>
      <c r="R255" s="37"/>
      <c r="S255" s="48">
        <f t="shared" si="309"/>
        <v>0</v>
      </c>
      <c r="T255" s="36"/>
      <c r="U255" s="48">
        <f t="shared" si="310"/>
        <v>0</v>
      </c>
      <c r="V255" s="36"/>
      <c r="W255" s="48">
        <f t="shared" si="311"/>
        <v>0</v>
      </c>
      <c r="X255" s="37"/>
      <c r="Y255" s="48">
        <f t="shared" si="312"/>
        <v>0</v>
      </c>
      <c r="Z255" s="37"/>
      <c r="AA255" s="48">
        <f t="shared" si="313"/>
        <v>0</v>
      </c>
      <c r="AB255" s="37"/>
      <c r="AC255" s="48"/>
      <c r="AD255" s="37"/>
      <c r="AE255" s="48">
        <f t="shared" si="314"/>
        <v>0</v>
      </c>
      <c r="AF255" s="36"/>
      <c r="AG255" s="48">
        <f t="shared" si="315"/>
        <v>0</v>
      </c>
      <c r="AH255" s="37"/>
      <c r="AI255" s="48">
        <f t="shared" si="316"/>
        <v>0</v>
      </c>
      <c r="AJ255" s="48">
        <v>0</v>
      </c>
      <c r="AK255" s="48">
        <v>0</v>
      </c>
      <c r="AL255" s="37"/>
      <c r="AM255" s="48">
        <f t="shared" si="317"/>
        <v>0</v>
      </c>
      <c r="AN255" s="37"/>
      <c r="AO255" s="48">
        <f t="shared" si="318"/>
        <v>0</v>
      </c>
      <c r="AP255" s="37"/>
      <c r="AQ255" s="36"/>
      <c r="AR255" s="37"/>
      <c r="AS255" s="48"/>
      <c r="AT255" s="37"/>
      <c r="AU255" s="36"/>
      <c r="AV255" s="37"/>
      <c r="AW255" s="48"/>
      <c r="AX255" s="37"/>
      <c r="AY255" s="48"/>
      <c r="AZ255" s="37"/>
      <c r="BA255" s="48"/>
      <c r="BB255" s="37"/>
      <c r="BC255" s="48"/>
      <c r="BD255" s="37"/>
      <c r="BE255" s="48">
        <f t="shared" si="319"/>
        <v>0</v>
      </c>
      <c r="BF255" s="37"/>
      <c r="BG255" s="48">
        <f t="shared" si="320"/>
        <v>0</v>
      </c>
      <c r="BH255" s="63"/>
      <c r="BI255" s="48">
        <f t="shared" si="321"/>
        <v>0</v>
      </c>
      <c r="BJ255" s="40"/>
      <c r="BK255" s="48">
        <f t="shared" si="322"/>
        <v>0</v>
      </c>
      <c r="BL255" s="36"/>
      <c r="BM255" s="48">
        <f t="shared" si="333"/>
        <v>0</v>
      </c>
      <c r="BN255" s="37"/>
      <c r="BO255" s="48">
        <f t="shared" si="323"/>
        <v>0</v>
      </c>
      <c r="BP255" s="59"/>
      <c r="BQ255" s="48"/>
      <c r="BR255" s="40"/>
      <c r="BS255" s="48">
        <f t="shared" si="324"/>
        <v>0</v>
      </c>
      <c r="BT255" s="37"/>
      <c r="BU255" s="48">
        <f t="shared" si="325"/>
        <v>0</v>
      </c>
      <c r="BV255" s="36"/>
      <c r="BW255" s="48">
        <f t="shared" si="326"/>
        <v>0</v>
      </c>
      <c r="BX255" s="37"/>
      <c r="BY255" s="48">
        <f t="shared" si="327"/>
        <v>0</v>
      </c>
      <c r="BZ255" s="37"/>
      <c r="CA255" s="48">
        <f t="shared" si="328"/>
        <v>0</v>
      </c>
      <c r="CB255" s="37"/>
      <c r="CC255" s="48">
        <f t="shared" si="329"/>
        <v>0</v>
      </c>
      <c r="CD255" s="37"/>
      <c r="CE255" s="48">
        <f t="shared" si="330"/>
        <v>0</v>
      </c>
      <c r="CF255" s="37"/>
      <c r="CG255" s="48">
        <f t="shared" si="331"/>
        <v>0</v>
      </c>
      <c r="CH255" s="40"/>
      <c r="CI255" s="48">
        <f t="shared" si="332"/>
        <v>0</v>
      </c>
      <c r="CJ255" s="36"/>
      <c r="CK255" s="36"/>
      <c r="CL255" s="36"/>
      <c r="CM255" s="36"/>
      <c r="CN255" s="41"/>
      <c r="CO255" s="41"/>
      <c r="CP255" s="42">
        <f t="shared" si="307"/>
        <v>0</v>
      </c>
      <c r="CQ255" s="42">
        <f t="shared" si="307"/>
        <v>0</v>
      </c>
    </row>
    <row r="256" spans="1:95" s="3" customFormat="1" ht="45" hidden="1" customHeight="1" x14ac:dyDescent="0.25">
      <c r="A256" s="54"/>
      <c r="B256" s="54">
        <v>175</v>
      </c>
      <c r="C256" s="54" t="s">
        <v>625</v>
      </c>
      <c r="D256" s="55" t="s">
        <v>626</v>
      </c>
      <c r="E256" s="110">
        <v>16026</v>
      </c>
      <c r="F256" s="110">
        <v>16828</v>
      </c>
      <c r="G256" s="87">
        <v>2.11</v>
      </c>
      <c r="H256" s="71">
        <v>1.2999999999999999E-2</v>
      </c>
      <c r="I256" s="57">
        <v>1</v>
      </c>
      <c r="J256" s="115"/>
      <c r="K256" s="57"/>
      <c r="L256" s="65">
        <v>1.4</v>
      </c>
      <c r="M256" s="65">
        <v>1.68</v>
      </c>
      <c r="N256" s="65">
        <v>2.23</v>
      </c>
      <c r="O256" s="65">
        <v>2.57</v>
      </c>
      <c r="P256" s="36">
        <v>1</v>
      </c>
      <c r="Q256" s="48">
        <f>(P256*$F256*$G256*((1-$H256)+$H256*$L256*$I256))</f>
        <v>35691.716816</v>
      </c>
      <c r="R256" s="37"/>
      <c r="S256" s="48">
        <f t="shared" si="309"/>
        <v>0</v>
      </c>
      <c r="T256" s="36"/>
      <c r="U256" s="48">
        <f t="shared" si="310"/>
        <v>0</v>
      </c>
      <c r="V256" s="36"/>
      <c r="W256" s="48">
        <f t="shared" si="311"/>
        <v>0</v>
      </c>
      <c r="X256" s="37"/>
      <c r="Y256" s="48">
        <f t="shared" si="312"/>
        <v>0</v>
      </c>
      <c r="Z256" s="37"/>
      <c r="AA256" s="48">
        <f t="shared" si="313"/>
        <v>0</v>
      </c>
      <c r="AB256" s="37"/>
      <c r="AC256" s="48"/>
      <c r="AD256" s="37"/>
      <c r="AE256" s="48">
        <f t="shared" si="314"/>
        <v>0</v>
      </c>
      <c r="AF256" s="36"/>
      <c r="AG256" s="48">
        <f t="shared" si="315"/>
        <v>0</v>
      </c>
      <c r="AH256" s="37"/>
      <c r="AI256" s="48">
        <f t="shared" si="316"/>
        <v>0</v>
      </c>
      <c r="AJ256" s="48">
        <v>0</v>
      </c>
      <c r="AK256" s="48">
        <v>0</v>
      </c>
      <c r="AL256" s="37"/>
      <c r="AM256" s="48">
        <f t="shared" si="317"/>
        <v>0</v>
      </c>
      <c r="AN256" s="37"/>
      <c r="AO256" s="48">
        <f t="shared" si="318"/>
        <v>0</v>
      </c>
      <c r="AP256" s="37"/>
      <c r="AQ256" s="36"/>
      <c r="AR256" s="37"/>
      <c r="AS256" s="48"/>
      <c r="AT256" s="37"/>
      <c r="AU256" s="36"/>
      <c r="AV256" s="37"/>
      <c r="AW256" s="48"/>
      <c r="AX256" s="37"/>
      <c r="AY256" s="48"/>
      <c r="AZ256" s="37"/>
      <c r="BA256" s="48"/>
      <c r="BB256" s="37"/>
      <c r="BC256" s="48"/>
      <c r="BD256" s="37"/>
      <c r="BE256" s="48">
        <f t="shared" si="319"/>
        <v>0</v>
      </c>
      <c r="BF256" s="37"/>
      <c r="BG256" s="48">
        <f t="shared" si="320"/>
        <v>0</v>
      </c>
      <c r="BH256" s="63"/>
      <c r="BI256" s="48">
        <f t="shared" si="321"/>
        <v>0</v>
      </c>
      <c r="BJ256" s="40"/>
      <c r="BK256" s="48">
        <f t="shared" si="322"/>
        <v>0</v>
      </c>
      <c r="BL256" s="36"/>
      <c r="BM256" s="48">
        <f t="shared" si="333"/>
        <v>0</v>
      </c>
      <c r="BN256" s="37"/>
      <c r="BO256" s="48">
        <f t="shared" si="323"/>
        <v>0</v>
      </c>
      <c r="BP256" s="59"/>
      <c r="BQ256" s="48"/>
      <c r="BR256" s="40"/>
      <c r="BS256" s="48">
        <f t="shared" si="324"/>
        <v>0</v>
      </c>
      <c r="BT256" s="37"/>
      <c r="BU256" s="48">
        <f t="shared" si="325"/>
        <v>0</v>
      </c>
      <c r="BV256" s="36"/>
      <c r="BW256" s="48">
        <f t="shared" si="326"/>
        <v>0</v>
      </c>
      <c r="BX256" s="37"/>
      <c r="BY256" s="48">
        <f t="shared" si="327"/>
        <v>0</v>
      </c>
      <c r="BZ256" s="37"/>
      <c r="CA256" s="48">
        <f t="shared" si="328"/>
        <v>0</v>
      </c>
      <c r="CB256" s="37"/>
      <c r="CC256" s="48">
        <f t="shared" si="329"/>
        <v>0</v>
      </c>
      <c r="CD256" s="37"/>
      <c r="CE256" s="48">
        <f t="shared" si="330"/>
        <v>0</v>
      </c>
      <c r="CF256" s="37"/>
      <c r="CG256" s="48">
        <f t="shared" si="331"/>
        <v>0</v>
      </c>
      <c r="CH256" s="40"/>
      <c r="CI256" s="48">
        <f t="shared" si="332"/>
        <v>0</v>
      </c>
      <c r="CJ256" s="36"/>
      <c r="CK256" s="36"/>
      <c r="CL256" s="36"/>
      <c r="CM256" s="36"/>
      <c r="CN256" s="41"/>
      <c r="CO256" s="41"/>
      <c r="CP256" s="42">
        <f t="shared" si="307"/>
        <v>1</v>
      </c>
      <c r="CQ256" s="42">
        <f t="shared" si="307"/>
        <v>35691.716816</v>
      </c>
    </row>
    <row r="257" spans="1:95" s="3" customFormat="1" ht="45" hidden="1" customHeight="1" x14ac:dyDescent="0.25">
      <c r="A257" s="54"/>
      <c r="B257" s="54">
        <v>176</v>
      </c>
      <c r="C257" s="54" t="s">
        <v>627</v>
      </c>
      <c r="D257" s="55" t="s">
        <v>628</v>
      </c>
      <c r="E257" s="110">
        <v>16026</v>
      </c>
      <c r="F257" s="110">
        <v>16828</v>
      </c>
      <c r="G257" s="87">
        <v>2.5</v>
      </c>
      <c r="H257" s="71">
        <v>9.9000000000000008E-3</v>
      </c>
      <c r="I257" s="57">
        <v>1</v>
      </c>
      <c r="J257" s="115"/>
      <c r="K257" s="57"/>
      <c r="L257" s="65">
        <v>1.4</v>
      </c>
      <c r="M257" s="65">
        <v>1.68</v>
      </c>
      <c r="N257" s="65">
        <v>2.23</v>
      </c>
      <c r="O257" s="65">
        <v>2.57</v>
      </c>
      <c r="P257" s="36"/>
      <c r="Q257" s="48">
        <f t="shared" ref="Q257:Q259" si="334">(P257*$F257*$G257*((1-$H257)+$H257*$L257*$I257))</f>
        <v>0</v>
      </c>
      <c r="R257" s="37"/>
      <c r="S257" s="48">
        <f t="shared" si="309"/>
        <v>0</v>
      </c>
      <c r="T257" s="36"/>
      <c r="U257" s="48">
        <f t="shared" si="310"/>
        <v>0</v>
      </c>
      <c r="V257" s="36"/>
      <c r="W257" s="48">
        <f t="shared" si="311"/>
        <v>0</v>
      </c>
      <c r="X257" s="37"/>
      <c r="Y257" s="48">
        <f t="shared" si="312"/>
        <v>0</v>
      </c>
      <c r="Z257" s="37"/>
      <c r="AA257" s="48">
        <f t="shared" si="313"/>
        <v>0</v>
      </c>
      <c r="AB257" s="37"/>
      <c r="AC257" s="48"/>
      <c r="AD257" s="37"/>
      <c r="AE257" s="48">
        <f t="shared" si="314"/>
        <v>0</v>
      </c>
      <c r="AF257" s="36"/>
      <c r="AG257" s="48">
        <f t="shared" si="315"/>
        <v>0</v>
      </c>
      <c r="AH257" s="37"/>
      <c r="AI257" s="48">
        <f t="shared" si="316"/>
        <v>0</v>
      </c>
      <c r="AJ257" s="48">
        <v>0</v>
      </c>
      <c r="AK257" s="48">
        <v>0</v>
      </c>
      <c r="AL257" s="37"/>
      <c r="AM257" s="48">
        <f t="shared" si="317"/>
        <v>0</v>
      </c>
      <c r="AN257" s="37"/>
      <c r="AO257" s="48">
        <f t="shared" si="318"/>
        <v>0</v>
      </c>
      <c r="AP257" s="37"/>
      <c r="AQ257" s="36"/>
      <c r="AR257" s="37"/>
      <c r="AS257" s="48"/>
      <c r="AT257" s="37"/>
      <c r="AU257" s="36"/>
      <c r="AV257" s="37"/>
      <c r="AW257" s="48"/>
      <c r="AX257" s="37"/>
      <c r="AY257" s="48"/>
      <c r="AZ257" s="37"/>
      <c r="BA257" s="48"/>
      <c r="BB257" s="37"/>
      <c r="BC257" s="48"/>
      <c r="BD257" s="37"/>
      <c r="BE257" s="48">
        <f t="shared" si="319"/>
        <v>0</v>
      </c>
      <c r="BF257" s="37"/>
      <c r="BG257" s="48">
        <f t="shared" si="320"/>
        <v>0</v>
      </c>
      <c r="BH257" s="63">
        <v>366</v>
      </c>
      <c r="BI257" s="48">
        <f>(BH257/12*2*$E257*$G257*((1-$H257)+$H257*$M257*$I257*BI$9))+(BH257/12*10*$F257*$G257*((1-$H257)+$H257*$M257*$I257*BI$9))</f>
        <v>15378148.42058</v>
      </c>
      <c r="BJ257" s="40"/>
      <c r="BK257" s="48">
        <f t="shared" si="322"/>
        <v>0</v>
      </c>
      <c r="BL257" s="36"/>
      <c r="BM257" s="48">
        <f t="shared" si="333"/>
        <v>0</v>
      </c>
      <c r="BN257" s="37"/>
      <c r="BO257" s="48">
        <f t="shared" si="323"/>
        <v>0</v>
      </c>
      <c r="BP257" s="59"/>
      <c r="BQ257" s="48"/>
      <c r="BR257" s="40"/>
      <c r="BS257" s="48">
        <f t="shared" si="324"/>
        <v>0</v>
      </c>
      <c r="BT257" s="37"/>
      <c r="BU257" s="48">
        <f t="shared" si="325"/>
        <v>0</v>
      </c>
      <c r="BV257" s="36"/>
      <c r="BW257" s="48">
        <f t="shared" si="326"/>
        <v>0</v>
      </c>
      <c r="BX257" s="37"/>
      <c r="BY257" s="48">
        <f t="shared" si="327"/>
        <v>0</v>
      </c>
      <c r="BZ257" s="37"/>
      <c r="CA257" s="48">
        <f t="shared" si="328"/>
        <v>0</v>
      </c>
      <c r="CB257" s="37"/>
      <c r="CC257" s="48">
        <f t="shared" si="329"/>
        <v>0</v>
      </c>
      <c r="CD257" s="37"/>
      <c r="CE257" s="48">
        <f t="shared" si="330"/>
        <v>0</v>
      </c>
      <c r="CF257" s="37"/>
      <c r="CG257" s="48">
        <f t="shared" si="331"/>
        <v>0</v>
      </c>
      <c r="CH257" s="40"/>
      <c r="CI257" s="48">
        <f t="shared" si="332"/>
        <v>0</v>
      </c>
      <c r="CJ257" s="36"/>
      <c r="CK257" s="36"/>
      <c r="CL257" s="36"/>
      <c r="CM257" s="36"/>
      <c r="CN257" s="41"/>
      <c r="CO257" s="41"/>
      <c r="CP257" s="42">
        <f t="shared" si="307"/>
        <v>366</v>
      </c>
      <c r="CQ257" s="42">
        <f t="shared" si="307"/>
        <v>15378148.42058</v>
      </c>
    </row>
    <row r="258" spans="1:95" s="3" customFormat="1" ht="45" hidden="1" customHeight="1" x14ac:dyDescent="0.25">
      <c r="A258" s="54"/>
      <c r="B258" s="54">
        <v>177</v>
      </c>
      <c r="C258" s="54" t="s">
        <v>629</v>
      </c>
      <c r="D258" s="55" t="s">
        <v>630</v>
      </c>
      <c r="E258" s="110">
        <v>16026</v>
      </c>
      <c r="F258" s="110">
        <v>16828</v>
      </c>
      <c r="G258" s="87">
        <v>2.76</v>
      </c>
      <c r="H258" s="71">
        <v>3.3799999999999997E-2</v>
      </c>
      <c r="I258" s="57">
        <v>1</v>
      </c>
      <c r="J258" s="115"/>
      <c r="K258" s="57"/>
      <c r="L258" s="65">
        <v>1.4</v>
      </c>
      <c r="M258" s="65">
        <v>1.68</v>
      </c>
      <c r="N258" s="65">
        <v>2.23</v>
      </c>
      <c r="O258" s="65">
        <v>2.57</v>
      </c>
      <c r="P258" s="36">
        <v>1</v>
      </c>
      <c r="Q258" s="48">
        <f t="shared" si="334"/>
        <v>47073.220185599996</v>
      </c>
      <c r="R258" s="37"/>
      <c r="S258" s="48">
        <f t="shared" si="309"/>
        <v>0</v>
      </c>
      <c r="T258" s="36"/>
      <c r="U258" s="48">
        <f t="shared" si="310"/>
        <v>0</v>
      </c>
      <c r="V258" s="36"/>
      <c r="W258" s="48">
        <f t="shared" si="311"/>
        <v>0</v>
      </c>
      <c r="X258" s="37"/>
      <c r="Y258" s="48">
        <f t="shared" si="312"/>
        <v>0</v>
      </c>
      <c r="Z258" s="37"/>
      <c r="AA258" s="48">
        <f t="shared" si="313"/>
        <v>0</v>
      </c>
      <c r="AB258" s="37"/>
      <c r="AC258" s="48"/>
      <c r="AD258" s="37"/>
      <c r="AE258" s="48">
        <f t="shared" si="314"/>
        <v>0</v>
      </c>
      <c r="AF258" s="36"/>
      <c r="AG258" s="48">
        <f t="shared" si="315"/>
        <v>0</v>
      </c>
      <c r="AH258" s="37"/>
      <c r="AI258" s="48">
        <f t="shared" si="316"/>
        <v>0</v>
      </c>
      <c r="AJ258" s="48">
        <v>0</v>
      </c>
      <c r="AK258" s="48">
        <v>0</v>
      </c>
      <c r="AL258" s="37"/>
      <c r="AM258" s="48">
        <f t="shared" si="317"/>
        <v>0</v>
      </c>
      <c r="AN258" s="37"/>
      <c r="AO258" s="48">
        <f t="shared" si="318"/>
        <v>0</v>
      </c>
      <c r="AP258" s="37"/>
      <c r="AQ258" s="36"/>
      <c r="AR258" s="37"/>
      <c r="AS258" s="48"/>
      <c r="AT258" s="37"/>
      <c r="AU258" s="36"/>
      <c r="AV258" s="37"/>
      <c r="AW258" s="48"/>
      <c r="AX258" s="37"/>
      <c r="AY258" s="48"/>
      <c r="AZ258" s="37"/>
      <c r="BA258" s="48"/>
      <c r="BB258" s="37"/>
      <c r="BC258" s="48"/>
      <c r="BD258" s="37"/>
      <c r="BE258" s="48">
        <f t="shared" si="319"/>
        <v>0</v>
      </c>
      <c r="BF258" s="37"/>
      <c r="BG258" s="48">
        <f t="shared" si="320"/>
        <v>0</v>
      </c>
      <c r="BH258" s="63">
        <v>12</v>
      </c>
      <c r="BI258" s="48">
        <f t="shared" si="321"/>
        <v>565624.54869887989</v>
      </c>
      <c r="BJ258" s="40"/>
      <c r="BK258" s="48">
        <f t="shared" si="322"/>
        <v>0</v>
      </c>
      <c r="BL258" s="36"/>
      <c r="BM258" s="48">
        <f t="shared" si="333"/>
        <v>0</v>
      </c>
      <c r="BN258" s="37"/>
      <c r="BO258" s="48">
        <f t="shared" si="323"/>
        <v>0</v>
      </c>
      <c r="BP258" s="59"/>
      <c r="BQ258" s="48"/>
      <c r="BR258" s="40"/>
      <c r="BS258" s="48">
        <f t="shared" si="324"/>
        <v>0</v>
      </c>
      <c r="BT258" s="37"/>
      <c r="BU258" s="48">
        <f t="shared" si="325"/>
        <v>0</v>
      </c>
      <c r="BV258" s="36"/>
      <c r="BW258" s="48">
        <f t="shared" si="326"/>
        <v>0</v>
      </c>
      <c r="BX258" s="37"/>
      <c r="BY258" s="48">
        <f t="shared" si="327"/>
        <v>0</v>
      </c>
      <c r="BZ258" s="37"/>
      <c r="CA258" s="48">
        <f t="shared" si="328"/>
        <v>0</v>
      </c>
      <c r="CB258" s="37"/>
      <c r="CC258" s="48">
        <f t="shared" si="329"/>
        <v>0</v>
      </c>
      <c r="CD258" s="37"/>
      <c r="CE258" s="48">
        <f t="shared" si="330"/>
        <v>0</v>
      </c>
      <c r="CF258" s="37"/>
      <c r="CG258" s="48">
        <f t="shared" si="331"/>
        <v>0</v>
      </c>
      <c r="CH258" s="40"/>
      <c r="CI258" s="48">
        <f t="shared" si="332"/>
        <v>0</v>
      </c>
      <c r="CJ258" s="36"/>
      <c r="CK258" s="36"/>
      <c r="CL258" s="36"/>
      <c r="CM258" s="36"/>
      <c r="CN258" s="41"/>
      <c r="CO258" s="41"/>
      <c r="CP258" s="42">
        <f t="shared" si="307"/>
        <v>13</v>
      </c>
      <c r="CQ258" s="42">
        <f t="shared" si="307"/>
        <v>612697.76888447988</v>
      </c>
    </row>
    <row r="259" spans="1:95" s="3" customFormat="1" ht="45" hidden="1" customHeight="1" x14ac:dyDescent="0.25">
      <c r="A259" s="54"/>
      <c r="B259" s="54">
        <v>178</v>
      </c>
      <c r="C259" s="54" t="s">
        <v>631</v>
      </c>
      <c r="D259" s="55" t="s">
        <v>632</v>
      </c>
      <c r="E259" s="110">
        <v>16026</v>
      </c>
      <c r="F259" s="110">
        <v>16828</v>
      </c>
      <c r="G259" s="87">
        <v>3.12</v>
      </c>
      <c r="H259" s="71">
        <v>7.9000000000000008E-3</v>
      </c>
      <c r="I259" s="57">
        <v>1</v>
      </c>
      <c r="J259" s="115"/>
      <c r="K259" s="57"/>
      <c r="L259" s="65">
        <v>1.4</v>
      </c>
      <c r="M259" s="65">
        <v>1.68</v>
      </c>
      <c r="N259" s="65">
        <v>2.23</v>
      </c>
      <c r="O259" s="65">
        <v>2.57</v>
      </c>
      <c r="P259" s="36"/>
      <c r="Q259" s="48">
        <f t="shared" si="334"/>
        <v>0</v>
      </c>
      <c r="R259" s="37"/>
      <c r="S259" s="48">
        <f t="shared" si="309"/>
        <v>0</v>
      </c>
      <c r="T259" s="36"/>
      <c r="U259" s="48">
        <f t="shared" si="310"/>
        <v>0</v>
      </c>
      <c r="V259" s="36"/>
      <c r="W259" s="48">
        <f t="shared" si="311"/>
        <v>0</v>
      </c>
      <c r="X259" s="37"/>
      <c r="Y259" s="48">
        <f t="shared" si="312"/>
        <v>0</v>
      </c>
      <c r="Z259" s="37"/>
      <c r="AA259" s="48">
        <f t="shared" si="313"/>
        <v>0</v>
      </c>
      <c r="AB259" s="37"/>
      <c r="AC259" s="48"/>
      <c r="AD259" s="37"/>
      <c r="AE259" s="48">
        <f t="shared" si="314"/>
        <v>0</v>
      </c>
      <c r="AF259" s="36"/>
      <c r="AG259" s="48">
        <f t="shared" si="315"/>
        <v>0</v>
      </c>
      <c r="AH259" s="37"/>
      <c r="AI259" s="48">
        <f t="shared" si="316"/>
        <v>0</v>
      </c>
      <c r="AJ259" s="48">
        <v>0</v>
      </c>
      <c r="AK259" s="48">
        <v>0</v>
      </c>
      <c r="AL259" s="37"/>
      <c r="AM259" s="48">
        <f t="shared" si="317"/>
        <v>0</v>
      </c>
      <c r="AN259" s="37"/>
      <c r="AO259" s="48">
        <f t="shared" si="318"/>
        <v>0</v>
      </c>
      <c r="AP259" s="37"/>
      <c r="AQ259" s="36"/>
      <c r="AR259" s="37"/>
      <c r="AS259" s="48"/>
      <c r="AT259" s="37"/>
      <c r="AU259" s="36"/>
      <c r="AV259" s="37"/>
      <c r="AW259" s="48"/>
      <c r="AX259" s="37"/>
      <c r="AY259" s="48"/>
      <c r="AZ259" s="37"/>
      <c r="BA259" s="48"/>
      <c r="BB259" s="37"/>
      <c r="BC259" s="48"/>
      <c r="BD259" s="37"/>
      <c r="BE259" s="48">
        <f t="shared" si="319"/>
        <v>0</v>
      </c>
      <c r="BF259" s="37"/>
      <c r="BG259" s="48">
        <f t="shared" si="320"/>
        <v>0</v>
      </c>
      <c r="BH259" s="63"/>
      <c r="BI259" s="48">
        <f t="shared" si="321"/>
        <v>0</v>
      </c>
      <c r="BJ259" s="40"/>
      <c r="BK259" s="48">
        <f t="shared" si="322"/>
        <v>0</v>
      </c>
      <c r="BL259" s="36"/>
      <c r="BM259" s="48">
        <f t="shared" si="333"/>
        <v>0</v>
      </c>
      <c r="BN259" s="37"/>
      <c r="BO259" s="48">
        <f t="shared" si="323"/>
        <v>0</v>
      </c>
      <c r="BP259" s="59"/>
      <c r="BQ259" s="48"/>
      <c r="BR259" s="40"/>
      <c r="BS259" s="48">
        <f t="shared" si="324"/>
        <v>0</v>
      </c>
      <c r="BT259" s="37"/>
      <c r="BU259" s="48">
        <f t="shared" si="325"/>
        <v>0</v>
      </c>
      <c r="BV259" s="36"/>
      <c r="BW259" s="48">
        <f t="shared" si="326"/>
        <v>0</v>
      </c>
      <c r="BX259" s="37"/>
      <c r="BY259" s="48">
        <f t="shared" si="327"/>
        <v>0</v>
      </c>
      <c r="BZ259" s="37"/>
      <c r="CA259" s="48">
        <f t="shared" si="328"/>
        <v>0</v>
      </c>
      <c r="CB259" s="37"/>
      <c r="CC259" s="48">
        <f t="shared" si="329"/>
        <v>0</v>
      </c>
      <c r="CD259" s="37"/>
      <c r="CE259" s="48">
        <f t="shared" si="330"/>
        <v>0</v>
      </c>
      <c r="CF259" s="37"/>
      <c r="CG259" s="48">
        <f t="shared" si="331"/>
        <v>0</v>
      </c>
      <c r="CH259" s="40"/>
      <c r="CI259" s="48">
        <f t="shared" si="332"/>
        <v>0</v>
      </c>
      <c r="CJ259" s="36"/>
      <c r="CK259" s="36"/>
      <c r="CL259" s="36"/>
      <c r="CM259" s="36"/>
      <c r="CN259" s="41"/>
      <c r="CO259" s="41"/>
      <c r="CP259" s="42">
        <f t="shared" si="307"/>
        <v>0</v>
      </c>
      <c r="CQ259" s="42">
        <f t="shared" si="307"/>
        <v>0</v>
      </c>
    </row>
    <row r="260" spans="1:95" s="3" customFormat="1" ht="45" hidden="1" customHeight="1" x14ac:dyDescent="0.25">
      <c r="A260" s="54"/>
      <c r="B260" s="54">
        <v>179</v>
      </c>
      <c r="C260" s="54" t="s">
        <v>633</v>
      </c>
      <c r="D260" s="55" t="s">
        <v>634</v>
      </c>
      <c r="E260" s="110">
        <v>16026</v>
      </c>
      <c r="F260" s="110">
        <v>16828</v>
      </c>
      <c r="G260" s="87">
        <v>3.58</v>
      </c>
      <c r="H260" s="71">
        <v>4.6899999999999997E-2</v>
      </c>
      <c r="I260" s="57">
        <v>1</v>
      </c>
      <c r="J260" s="115"/>
      <c r="K260" s="57"/>
      <c r="L260" s="65">
        <v>1.4</v>
      </c>
      <c r="M260" s="65">
        <v>1.68</v>
      </c>
      <c r="N260" s="65">
        <v>2.23</v>
      </c>
      <c r="O260" s="65">
        <v>2.57</v>
      </c>
      <c r="P260" s="36">
        <v>2</v>
      </c>
      <c r="Q260" s="48">
        <f>(P260*$F260*$G260*((1-$H260)+$H260*$L260*$I260))</f>
        <v>122748.84388480001</v>
      </c>
      <c r="R260" s="37"/>
      <c r="S260" s="48">
        <f t="shared" si="309"/>
        <v>0</v>
      </c>
      <c r="T260" s="36"/>
      <c r="U260" s="48">
        <f t="shared" si="310"/>
        <v>0</v>
      </c>
      <c r="V260" s="36"/>
      <c r="W260" s="48">
        <f t="shared" si="311"/>
        <v>0</v>
      </c>
      <c r="X260" s="37"/>
      <c r="Y260" s="48">
        <f t="shared" si="312"/>
        <v>0</v>
      </c>
      <c r="Z260" s="37"/>
      <c r="AA260" s="48">
        <f t="shared" si="313"/>
        <v>0</v>
      </c>
      <c r="AB260" s="37"/>
      <c r="AC260" s="48"/>
      <c r="AD260" s="37"/>
      <c r="AE260" s="48">
        <f t="shared" si="314"/>
        <v>0</v>
      </c>
      <c r="AF260" s="36"/>
      <c r="AG260" s="48">
        <f t="shared" si="315"/>
        <v>0</v>
      </c>
      <c r="AH260" s="37"/>
      <c r="AI260" s="48">
        <f t="shared" si="316"/>
        <v>0</v>
      </c>
      <c r="AJ260" s="48">
        <v>0</v>
      </c>
      <c r="AK260" s="48">
        <v>0</v>
      </c>
      <c r="AL260" s="37"/>
      <c r="AM260" s="48">
        <f t="shared" si="317"/>
        <v>0</v>
      </c>
      <c r="AN260" s="37"/>
      <c r="AO260" s="48">
        <f t="shared" si="318"/>
        <v>0</v>
      </c>
      <c r="AP260" s="37"/>
      <c r="AQ260" s="36"/>
      <c r="AR260" s="37"/>
      <c r="AS260" s="48"/>
      <c r="AT260" s="37"/>
      <c r="AU260" s="36"/>
      <c r="AV260" s="37"/>
      <c r="AW260" s="48"/>
      <c r="AX260" s="37"/>
      <c r="AY260" s="48"/>
      <c r="AZ260" s="37"/>
      <c r="BA260" s="48"/>
      <c r="BB260" s="37"/>
      <c r="BC260" s="48"/>
      <c r="BD260" s="37"/>
      <c r="BE260" s="48">
        <f t="shared" si="319"/>
        <v>0</v>
      </c>
      <c r="BF260" s="37"/>
      <c r="BG260" s="48">
        <f t="shared" si="320"/>
        <v>0</v>
      </c>
      <c r="BH260" s="63">
        <v>12</v>
      </c>
      <c r="BI260" s="48">
        <f t="shared" si="321"/>
        <v>740061.13755552005</v>
      </c>
      <c r="BJ260" s="40"/>
      <c r="BK260" s="48">
        <f t="shared" si="322"/>
        <v>0</v>
      </c>
      <c r="BL260" s="36"/>
      <c r="BM260" s="48">
        <f t="shared" si="333"/>
        <v>0</v>
      </c>
      <c r="BN260" s="37"/>
      <c r="BO260" s="48">
        <f t="shared" si="323"/>
        <v>0</v>
      </c>
      <c r="BP260" s="59"/>
      <c r="BQ260" s="48"/>
      <c r="BR260" s="40"/>
      <c r="BS260" s="48">
        <f t="shared" si="324"/>
        <v>0</v>
      </c>
      <c r="BT260" s="37"/>
      <c r="BU260" s="48">
        <f t="shared" si="325"/>
        <v>0</v>
      </c>
      <c r="BV260" s="36"/>
      <c r="BW260" s="48">
        <f t="shared" si="326"/>
        <v>0</v>
      </c>
      <c r="BX260" s="37"/>
      <c r="BY260" s="48">
        <f t="shared" si="327"/>
        <v>0</v>
      </c>
      <c r="BZ260" s="37"/>
      <c r="CA260" s="48">
        <f t="shared" si="328"/>
        <v>0</v>
      </c>
      <c r="CB260" s="37"/>
      <c r="CC260" s="48">
        <f t="shared" si="329"/>
        <v>0</v>
      </c>
      <c r="CD260" s="37"/>
      <c r="CE260" s="48">
        <f t="shared" si="330"/>
        <v>0</v>
      </c>
      <c r="CF260" s="37"/>
      <c r="CG260" s="48">
        <f t="shared" si="331"/>
        <v>0</v>
      </c>
      <c r="CH260" s="40"/>
      <c r="CI260" s="48">
        <f t="shared" si="332"/>
        <v>0</v>
      </c>
      <c r="CJ260" s="36"/>
      <c r="CK260" s="36"/>
      <c r="CL260" s="36"/>
      <c r="CM260" s="36"/>
      <c r="CN260" s="41"/>
      <c r="CO260" s="41"/>
      <c r="CP260" s="42">
        <f t="shared" si="307"/>
        <v>14</v>
      </c>
      <c r="CQ260" s="42">
        <f t="shared" si="307"/>
        <v>862809.98144032003</v>
      </c>
    </row>
    <row r="261" spans="1:95" s="3" customFormat="1" ht="45" hidden="1" customHeight="1" x14ac:dyDescent="0.25">
      <c r="A261" s="54"/>
      <c r="B261" s="54">
        <v>180</v>
      </c>
      <c r="C261" s="54" t="s">
        <v>635</v>
      </c>
      <c r="D261" s="55" t="s">
        <v>636</v>
      </c>
      <c r="E261" s="110">
        <v>16026</v>
      </c>
      <c r="F261" s="110">
        <v>16828</v>
      </c>
      <c r="G261" s="87">
        <v>4.1399999999999997</v>
      </c>
      <c r="H261" s="71">
        <v>7.0000000000000001E-3</v>
      </c>
      <c r="I261" s="57">
        <v>1</v>
      </c>
      <c r="J261" s="115"/>
      <c r="K261" s="57"/>
      <c r="L261" s="65">
        <v>1.4</v>
      </c>
      <c r="M261" s="65">
        <v>1.68</v>
      </c>
      <c r="N261" s="65">
        <v>2.23</v>
      </c>
      <c r="O261" s="65">
        <v>2.57</v>
      </c>
      <c r="P261" s="36"/>
      <c r="Q261" s="48">
        <f t="shared" ref="Q261:Q262" si="335">(P261*$F261*$G261*((1-$H261)+$H261*$L261*$I261))</f>
        <v>0</v>
      </c>
      <c r="R261" s="37"/>
      <c r="S261" s="48">
        <f t="shared" si="309"/>
        <v>0</v>
      </c>
      <c r="T261" s="36"/>
      <c r="U261" s="48">
        <f t="shared" si="310"/>
        <v>0</v>
      </c>
      <c r="V261" s="36"/>
      <c r="W261" s="48">
        <f t="shared" si="311"/>
        <v>0</v>
      </c>
      <c r="X261" s="37"/>
      <c r="Y261" s="48">
        <f t="shared" si="312"/>
        <v>0</v>
      </c>
      <c r="Z261" s="37"/>
      <c r="AA261" s="48">
        <f t="shared" si="313"/>
        <v>0</v>
      </c>
      <c r="AB261" s="37"/>
      <c r="AC261" s="48"/>
      <c r="AD261" s="37"/>
      <c r="AE261" s="48">
        <f t="shared" si="314"/>
        <v>0</v>
      </c>
      <c r="AF261" s="36"/>
      <c r="AG261" s="48">
        <f t="shared" si="315"/>
        <v>0</v>
      </c>
      <c r="AH261" s="37"/>
      <c r="AI261" s="48">
        <f t="shared" si="316"/>
        <v>0</v>
      </c>
      <c r="AJ261" s="48">
        <v>0</v>
      </c>
      <c r="AK261" s="48">
        <v>0</v>
      </c>
      <c r="AL261" s="37"/>
      <c r="AM261" s="48">
        <f t="shared" si="317"/>
        <v>0</v>
      </c>
      <c r="AN261" s="37"/>
      <c r="AO261" s="48">
        <f t="shared" si="318"/>
        <v>0</v>
      </c>
      <c r="AP261" s="37"/>
      <c r="AQ261" s="36"/>
      <c r="AR261" s="37"/>
      <c r="AS261" s="48"/>
      <c r="AT261" s="37"/>
      <c r="AU261" s="36"/>
      <c r="AV261" s="37"/>
      <c r="AW261" s="48"/>
      <c r="AX261" s="37"/>
      <c r="AY261" s="48"/>
      <c r="AZ261" s="37"/>
      <c r="BA261" s="48"/>
      <c r="BB261" s="37"/>
      <c r="BC261" s="48"/>
      <c r="BD261" s="37"/>
      <c r="BE261" s="48">
        <f t="shared" si="319"/>
        <v>0</v>
      </c>
      <c r="BF261" s="37"/>
      <c r="BG261" s="48">
        <f t="shared" si="320"/>
        <v>0</v>
      </c>
      <c r="BH261" s="63"/>
      <c r="BI261" s="48">
        <f t="shared" si="321"/>
        <v>0</v>
      </c>
      <c r="BJ261" s="40"/>
      <c r="BK261" s="48">
        <f t="shared" si="322"/>
        <v>0</v>
      </c>
      <c r="BL261" s="36">
        <v>2</v>
      </c>
      <c r="BM261" s="48">
        <f t="shared" si="333"/>
        <v>138887.05042079999</v>
      </c>
      <c r="BN261" s="37"/>
      <c r="BO261" s="48">
        <f t="shared" si="323"/>
        <v>0</v>
      </c>
      <c r="BP261" s="59"/>
      <c r="BQ261" s="48"/>
      <c r="BR261" s="40"/>
      <c r="BS261" s="48">
        <f t="shared" si="324"/>
        <v>0</v>
      </c>
      <c r="BT261" s="37"/>
      <c r="BU261" s="48">
        <f t="shared" si="325"/>
        <v>0</v>
      </c>
      <c r="BV261" s="36"/>
      <c r="BW261" s="48">
        <f t="shared" si="326"/>
        <v>0</v>
      </c>
      <c r="BX261" s="37"/>
      <c r="BY261" s="48">
        <f t="shared" si="327"/>
        <v>0</v>
      </c>
      <c r="BZ261" s="37"/>
      <c r="CA261" s="48">
        <f t="shared" si="328"/>
        <v>0</v>
      </c>
      <c r="CB261" s="37"/>
      <c r="CC261" s="48">
        <f t="shared" si="329"/>
        <v>0</v>
      </c>
      <c r="CD261" s="37"/>
      <c r="CE261" s="48">
        <f t="shared" si="330"/>
        <v>0</v>
      </c>
      <c r="CF261" s="37"/>
      <c r="CG261" s="48">
        <f t="shared" si="331"/>
        <v>0</v>
      </c>
      <c r="CH261" s="40"/>
      <c r="CI261" s="48">
        <f t="shared" si="332"/>
        <v>0</v>
      </c>
      <c r="CJ261" s="36"/>
      <c r="CK261" s="36"/>
      <c r="CL261" s="36"/>
      <c r="CM261" s="36"/>
      <c r="CN261" s="41"/>
      <c r="CO261" s="41"/>
      <c r="CP261" s="42">
        <f t="shared" si="307"/>
        <v>2</v>
      </c>
      <c r="CQ261" s="42">
        <f t="shared" si="307"/>
        <v>138887.05042079999</v>
      </c>
    </row>
    <row r="262" spans="1:95" s="3" customFormat="1" ht="45" hidden="1" customHeight="1" x14ac:dyDescent="0.25">
      <c r="A262" s="54"/>
      <c r="B262" s="54">
        <v>181</v>
      </c>
      <c r="C262" s="54" t="s">
        <v>637</v>
      </c>
      <c r="D262" s="55" t="s">
        <v>638</v>
      </c>
      <c r="E262" s="110">
        <v>16026</v>
      </c>
      <c r="F262" s="110">
        <v>16828</v>
      </c>
      <c r="G262" s="87">
        <v>5.03</v>
      </c>
      <c r="H262" s="71">
        <v>8.6999999999999994E-3</v>
      </c>
      <c r="I262" s="57">
        <v>1</v>
      </c>
      <c r="J262" s="115"/>
      <c r="K262" s="57"/>
      <c r="L262" s="65">
        <v>1.4</v>
      </c>
      <c r="M262" s="65">
        <v>1.68</v>
      </c>
      <c r="N262" s="65">
        <v>2.23</v>
      </c>
      <c r="O262" s="65">
        <v>2.57</v>
      </c>
      <c r="P262" s="36">
        <v>1</v>
      </c>
      <c r="Q262" s="48">
        <f t="shared" si="335"/>
        <v>84939.404043200004</v>
      </c>
      <c r="R262" s="37"/>
      <c r="S262" s="48">
        <f t="shared" si="309"/>
        <v>0</v>
      </c>
      <c r="T262" s="36"/>
      <c r="U262" s="48">
        <f t="shared" si="310"/>
        <v>0</v>
      </c>
      <c r="V262" s="36"/>
      <c r="W262" s="48">
        <f t="shared" si="311"/>
        <v>0</v>
      </c>
      <c r="X262" s="37"/>
      <c r="Y262" s="48">
        <f t="shared" si="312"/>
        <v>0</v>
      </c>
      <c r="Z262" s="37"/>
      <c r="AA262" s="48">
        <f t="shared" si="313"/>
        <v>0</v>
      </c>
      <c r="AB262" s="37"/>
      <c r="AC262" s="48"/>
      <c r="AD262" s="37"/>
      <c r="AE262" s="48">
        <f t="shared" si="314"/>
        <v>0</v>
      </c>
      <c r="AF262" s="36"/>
      <c r="AG262" s="48">
        <f t="shared" si="315"/>
        <v>0</v>
      </c>
      <c r="AH262" s="37"/>
      <c r="AI262" s="48">
        <f t="shared" si="316"/>
        <v>0</v>
      </c>
      <c r="AJ262" s="48">
        <v>0</v>
      </c>
      <c r="AK262" s="48">
        <v>0</v>
      </c>
      <c r="AL262" s="37"/>
      <c r="AM262" s="48">
        <f t="shared" si="317"/>
        <v>0</v>
      </c>
      <c r="AN262" s="37"/>
      <c r="AO262" s="48">
        <f t="shared" si="318"/>
        <v>0</v>
      </c>
      <c r="AP262" s="37"/>
      <c r="AQ262" s="36"/>
      <c r="AR262" s="37"/>
      <c r="AS262" s="48"/>
      <c r="AT262" s="37"/>
      <c r="AU262" s="36"/>
      <c r="AV262" s="37"/>
      <c r="AW262" s="48"/>
      <c r="AX262" s="37"/>
      <c r="AY262" s="48"/>
      <c r="AZ262" s="37"/>
      <c r="BA262" s="48"/>
      <c r="BB262" s="37"/>
      <c r="BC262" s="48"/>
      <c r="BD262" s="37"/>
      <c r="BE262" s="48">
        <f t="shared" si="319"/>
        <v>0</v>
      </c>
      <c r="BF262" s="37"/>
      <c r="BG262" s="48">
        <f t="shared" si="320"/>
        <v>0</v>
      </c>
      <c r="BH262" s="63"/>
      <c r="BI262" s="48">
        <f t="shared" si="321"/>
        <v>0</v>
      </c>
      <c r="BJ262" s="40"/>
      <c r="BK262" s="48">
        <f t="shared" si="322"/>
        <v>0</v>
      </c>
      <c r="BL262" s="36"/>
      <c r="BM262" s="48">
        <f t="shared" si="333"/>
        <v>0</v>
      </c>
      <c r="BN262" s="37"/>
      <c r="BO262" s="48">
        <f t="shared" si="323"/>
        <v>0</v>
      </c>
      <c r="BP262" s="59"/>
      <c r="BQ262" s="48"/>
      <c r="BR262" s="40"/>
      <c r="BS262" s="48">
        <f t="shared" si="324"/>
        <v>0</v>
      </c>
      <c r="BT262" s="37"/>
      <c r="BU262" s="48">
        <f t="shared" si="325"/>
        <v>0</v>
      </c>
      <c r="BV262" s="36"/>
      <c r="BW262" s="48">
        <f t="shared" si="326"/>
        <v>0</v>
      </c>
      <c r="BX262" s="37"/>
      <c r="BY262" s="48">
        <f t="shared" si="327"/>
        <v>0</v>
      </c>
      <c r="BZ262" s="37"/>
      <c r="CA262" s="48">
        <f t="shared" si="328"/>
        <v>0</v>
      </c>
      <c r="CB262" s="37"/>
      <c r="CC262" s="48">
        <f t="shared" si="329"/>
        <v>0</v>
      </c>
      <c r="CD262" s="37"/>
      <c r="CE262" s="48">
        <f t="shared" si="330"/>
        <v>0</v>
      </c>
      <c r="CF262" s="37"/>
      <c r="CG262" s="48">
        <f t="shared" si="331"/>
        <v>0</v>
      </c>
      <c r="CH262" s="40"/>
      <c r="CI262" s="48">
        <f t="shared" si="332"/>
        <v>0</v>
      </c>
      <c r="CJ262" s="36"/>
      <c r="CK262" s="36"/>
      <c r="CL262" s="36"/>
      <c r="CM262" s="36"/>
      <c r="CN262" s="41"/>
      <c r="CO262" s="41"/>
      <c r="CP262" s="42">
        <f t="shared" si="307"/>
        <v>1</v>
      </c>
      <c r="CQ262" s="42">
        <f t="shared" si="307"/>
        <v>84939.404043200004</v>
      </c>
    </row>
    <row r="263" spans="1:95" s="3" customFormat="1" ht="45" hidden="1" customHeight="1" x14ac:dyDescent="0.25">
      <c r="A263" s="54"/>
      <c r="B263" s="54">
        <v>182</v>
      </c>
      <c r="C263" s="54" t="s">
        <v>639</v>
      </c>
      <c r="D263" s="55" t="s">
        <v>640</v>
      </c>
      <c r="E263" s="110">
        <v>16026</v>
      </c>
      <c r="F263" s="110">
        <v>16828</v>
      </c>
      <c r="G263" s="87">
        <v>5.91</v>
      </c>
      <c r="H263" s="71">
        <v>2.2200000000000001E-2</v>
      </c>
      <c r="I263" s="57">
        <v>1</v>
      </c>
      <c r="J263" s="115"/>
      <c r="K263" s="57"/>
      <c r="L263" s="65">
        <v>1.4</v>
      </c>
      <c r="M263" s="65">
        <v>1.68</v>
      </c>
      <c r="N263" s="65">
        <v>2.23</v>
      </c>
      <c r="O263" s="65">
        <v>2.57</v>
      </c>
      <c r="P263" s="36"/>
      <c r="Q263" s="48">
        <f t="shared" si="308"/>
        <v>0</v>
      </c>
      <c r="R263" s="37"/>
      <c r="S263" s="48">
        <f t="shared" si="309"/>
        <v>0</v>
      </c>
      <c r="T263" s="36"/>
      <c r="U263" s="48">
        <f t="shared" si="310"/>
        <v>0</v>
      </c>
      <c r="V263" s="36"/>
      <c r="W263" s="48">
        <f t="shared" si="311"/>
        <v>0</v>
      </c>
      <c r="X263" s="37"/>
      <c r="Y263" s="48">
        <f t="shared" si="312"/>
        <v>0</v>
      </c>
      <c r="Z263" s="37"/>
      <c r="AA263" s="48">
        <f t="shared" si="313"/>
        <v>0</v>
      </c>
      <c r="AB263" s="37"/>
      <c r="AC263" s="48"/>
      <c r="AD263" s="37"/>
      <c r="AE263" s="48">
        <f t="shared" si="314"/>
        <v>0</v>
      </c>
      <c r="AF263" s="36"/>
      <c r="AG263" s="48">
        <f t="shared" si="315"/>
        <v>0</v>
      </c>
      <c r="AH263" s="37"/>
      <c r="AI263" s="48">
        <f t="shared" si="316"/>
        <v>0</v>
      </c>
      <c r="AJ263" s="48">
        <v>0</v>
      </c>
      <c r="AK263" s="48">
        <v>0</v>
      </c>
      <c r="AL263" s="37"/>
      <c r="AM263" s="48">
        <f t="shared" si="317"/>
        <v>0</v>
      </c>
      <c r="AN263" s="37"/>
      <c r="AO263" s="48">
        <f t="shared" si="318"/>
        <v>0</v>
      </c>
      <c r="AP263" s="37"/>
      <c r="AQ263" s="36"/>
      <c r="AR263" s="37"/>
      <c r="AS263" s="48"/>
      <c r="AT263" s="37"/>
      <c r="AU263" s="36"/>
      <c r="AV263" s="37"/>
      <c r="AW263" s="48"/>
      <c r="AX263" s="37"/>
      <c r="AY263" s="48"/>
      <c r="AZ263" s="37"/>
      <c r="BA263" s="48"/>
      <c r="BB263" s="37"/>
      <c r="BC263" s="48"/>
      <c r="BD263" s="37"/>
      <c r="BE263" s="48">
        <f t="shared" si="319"/>
        <v>0</v>
      </c>
      <c r="BF263" s="37"/>
      <c r="BG263" s="48">
        <f t="shared" si="320"/>
        <v>0</v>
      </c>
      <c r="BH263" s="63"/>
      <c r="BI263" s="48">
        <f t="shared" si="321"/>
        <v>0</v>
      </c>
      <c r="BJ263" s="40"/>
      <c r="BK263" s="48">
        <f t="shared" si="322"/>
        <v>0</v>
      </c>
      <c r="BL263" s="36"/>
      <c r="BM263" s="48">
        <f t="shared" si="333"/>
        <v>0</v>
      </c>
      <c r="BN263" s="37"/>
      <c r="BO263" s="48">
        <f t="shared" si="323"/>
        <v>0</v>
      </c>
      <c r="BP263" s="59"/>
      <c r="BQ263" s="48"/>
      <c r="BR263" s="40"/>
      <c r="BS263" s="48">
        <f t="shared" si="324"/>
        <v>0</v>
      </c>
      <c r="BT263" s="37"/>
      <c r="BU263" s="48">
        <f t="shared" si="325"/>
        <v>0</v>
      </c>
      <c r="BV263" s="36"/>
      <c r="BW263" s="48">
        <f t="shared" si="326"/>
        <v>0</v>
      </c>
      <c r="BX263" s="37"/>
      <c r="BY263" s="48">
        <f t="shared" si="327"/>
        <v>0</v>
      </c>
      <c r="BZ263" s="37"/>
      <c r="CA263" s="48">
        <f t="shared" si="328"/>
        <v>0</v>
      </c>
      <c r="CB263" s="37"/>
      <c r="CC263" s="48">
        <f t="shared" si="329"/>
        <v>0</v>
      </c>
      <c r="CD263" s="37"/>
      <c r="CE263" s="48">
        <f t="shared" si="330"/>
        <v>0</v>
      </c>
      <c r="CF263" s="37"/>
      <c r="CG263" s="48">
        <f t="shared" si="331"/>
        <v>0</v>
      </c>
      <c r="CH263" s="40"/>
      <c r="CI263" s="48">
        <f t="shared" si="332"/>
        <v>0</v>
      </c>
      <c r="CJ263" s="36"/>
      <c r="CK263" s="36"/>
      <c r="CL263" s="36"/>
      <c r="CM263" s="36"/>
      <c r="CN263" s="41"/>
      <c r="CO263" s="41"/>
      <c r="CP263" s="42">
        <f t="shared" si="307"/>
        <v>0</v>
      </c>
      <c r="CQ263" s="42">
        <f t="shared" si="307"/>
        <v>0</v>
      </c>
    </row>
    <row r="264" spans="1:95" s="3" customFormat="1" ht="45" hidden="1" customHeight="1" x14ac:dyDescent="0.25">
      <c r="A264" s="54"/>
      <c r="B264" s="54">
        <v>183</v>
      </c>
      <c r="C264" s="54" t="s">
        <v>641</v>
      </c>
      <c r="D264" s="55" t="s">
        <v>642</v>
      </c>
      <c r="E264" s="110">
        <v>16026</v>
      </c>
      <c r="F264" s="110">
        <v>16828</v>
      </c>
      <c r="G264" s="87">
        <v>6.88</v>
      </c>
      <c r="H264" s="71">
        <v>9.4000000000000004E-3</v>
      </c>
      <c r="I264" s="57">
        <v>1</v>
      </c>
      <c r="J264" s="115"/>
      <c r="K264" s="57"/>
      <c r="L264" s="65">
        <v>1.4</v>
      </c>
      <c r="M264" s="65">
        <v>1.68</v>
      </c>
      <c r="N264" s="65">
        <v>2.23</v>
      </c>
      <c r="O264" s="65">
        <v>2.57</v>
      </c>
      <c r="P264" s="36"/>
      <c r="Q264" s="48">
        <f t="shared" si="308"/>
        <v>0</v>
      </c>
      <c r="R264" s="37"/>
      <c r="S264" s="48">
        <f t="shared" si="309"/>
        <v>0</v>
      </c>
      <c r="T264" s="36"/>
      <c r="U264" s="48">
        <f t="shared" si="310"/>
        <v>0</v>
      </c>
      <c r="V264" s="36"/>
      <c r="W264" s="48">
        <f t="shared" si="311"/>
        <v>0</v>
      </c>
      <c r="X264" s="37"/>
      <c r="Y264" s="48">
        <f t="shared" si="312"/>
        <v>0</v>
      </c>
      <c r="Z264" s="37"/>
      <c r="AA264" s="48">
        <f t="shared" si="313"/>
        <v>0</v>
      </c>
      <c r="AB264" s="37"/>
      <c r="AC264" s="48"/>
      <c r="AD264" s="37"/>
      <c r="AE264" s="48">
        <f t="shared" si="314"/>
        <v>0</v>
      </c>
      <c r="AF264" s="36"/>
      <c r="AG264" s="48">
        <f t="shared" si="315"/>
        <v>0</v>
      </c>
      <c r="AH264" s="36">
        <v>1</v>
      </c>
      <c r="AI264" s="48">
        <f t="shared" si="316"/>
        <v>115591.17936256</v>
      </c>
      <c r="AJ264" s="48">
        <v>4</v>
      </c>
      <c r="AK264" s="48">
        <v>460513.69</v>
      </c>
      <c r="AL264" s="37"/>
      <c r="AM264" s="48">
        <f t="shared" si="317"/>
        <v>0</v>
      </c>
      <c r="AN264" s="37"/>
      <c r="AO264" s="48">
        <f t="shared" si="318"/>
        <v>0</v>
      </c>
      <c r="AP264" s="37"/>
      <c r="AQ264" s="36"/>
      <c r="AR264" s="37"/>
      <c r="AS264" s="48"/>
      <c r="AT264" s="37"/>
      <c r="AU264" s="36"/>
      <c r="AV264" s="37"/>
      <c r="AW264" s="48"/>
      <c r="AX264" s="37"/>
      <c r="AY264" s="48"/>
      <c r="AZ264" s="37"/>
      <c r="BA264" s="48"/>
      <c r="BB264" s="37"/>
      <c r="BC264" s="48"/>
      <c r="BD264" s="37"/>
      <c r="BE264" s="48">
        <f t="shared" si="319"/>
        <v>0</v>
      </c>
      <c r="BF264" s="37"/>
      <c r="BG264" s="48">
        <f t="shared" si="320"/>
        <v>0</v>
      </c>
      <c r="BH264" s="63"/>
      <c r="BI264" s="48">
        <f t="shared" si="321"/>
        <v>0</v>
      </c>
      <c r="BJ264" s="40"/>
      <c r="BK264" s="48">
        <f t="shared" si="322"/>
        <v>0</v>
      </c>
      <c r="BL264" s="36"/>
      <c r="BM264" s="48">
        <f t="shared" si="333"/>
        <v>0</v>
      </c>
      <c r="BN264" s="37"/>
      <c r="BO264" s="48">
        <f t="shared" si="323"/>
        <v>0</v>
      </c>
      <c r="BP264" s="59"/>
      <c r="BQ264" s="48"/>
      <c r="BR264" s="40"/>
      <c r="BS264" s="48">
        <f t="shared" si="324"/>
        <v>0</v>
      </c>
      <c r="BT264" s="37"/>
      <c r="BU264" s="48">
        <f t="shared" si="325"/>
        <v>0</v>
      </c>
      <c r="BV264" s="36"/>
      <c r="BW264" s="48">
        <f t="shared" si="326"/>
        <v>0</v>
      </c>
      <c r="BX264" s="37"/>
      <c r="BY264" s="48">
        <f t="shared" si="327"/>
        <v>0</v>
      </c>
      <c r="BZ264" s="37"/>
      <c r="CA264" s="48">
        <f t="shared" si="328"/>
        <v>0</v>
      </c>
      <c r="CB264" s="37"/>
      <c r="CC264" s="48">
        <f t="shared" si="329"/>
        <v>0</v>
      </c>
      <c r="CD264" s="37"/>
      <c r="CE264" s="48">
        <f t="shared" si="330"/>
        <v>0</v>
      </c>
      <c r="CF264" s="37"/>
      <c r="CG264" s="48">
        <f t="shared" si="331"/>
        <v>0</v>
      </c>
      <c r="CH264" s="40"/>
      <c r="CI264" s="48">
        <f t="shared" si="332"/>
        <v>0</v>
      </c>
      <c r="CJ264" s="36"/>
      <c r="CK264" s="36"/>
      <c r="CL264" s="36"/>
      <c r="CM264" s="36"/>
      <c r="CN264" s="41"/>
      <c r="CO264" s="41"/>
      <c r="CP264" s="42">
        <f t="shared" si="307"/>
        <v>5</v>
      </c>
      <c r="CQ264" s="42">
        <f t="shared" si="307"/>
        <v>576104.86936255998</v>
      </c>
    </row>
    <row r="265" spans="1:95" s="3" customFormat="1" ht="45" hidden="1" customHeight="1" x14ac:dyDescent="0.25">
      <c r="A265" s="54"/>
      <c r="B265" s="54">
        <v>184</v>
      </c>
      <c r="C265" s="54" t="s">
        <v>643</v>
      </c>
      <c r="D265" s="55" t="s">
        <v>644</v>
      </c>
      <c r="E265" s="110">
        <v>16026</v>
      </c>
      <c r="F265" s="110">
        <v>16828</v>
      </c>
      <c r="G265" s="87">
        <v>8.51</v>
      </c>
      <c r="H265" s="71">
        <v>3.5999999999999999E-3</v>
      </c>
      <c r="I265" s="57">
        <v>1</v>
      </c>
      <c r="J265" s="115"/>
      <c r="K265" s="57"/>
      <c r="L265" s="65">
        <v>1.4</v>
      </c>
      <c r="M265" s="65">
        <v>1.68</v>
      </c>
      <c r="N265" s="65">
        <v>2.23</v>
      </c>
      <c r="O265" s="65">
        <v>2.57</v>
      </c>
      <c r="P265" s="36"/>
      <c r="Q265" s="48">
        <f t="shared" si="308"/>
        <v>0</v>
      </c>
      <c r="R265" s="37"/>
      <c r="S265" s="48">
        <f t="shared" si="309"/>
        <v>0</v>
      </c>
      <c r="T265" s="36"/>
      <c r="U265" s="48">
        <f t="shared" si="310"/>
        <v>0</v>
      </c>
      <c r="V265" s="36"/>
      <c r="W265" s="48">
        <f t="shared" si="311"/>
        <v>0</v>
      </c>
      <c r="X265" s="37"/>
      <c r="Y265" s="48">
        <f t="shared" si="312"/>
        <v>0</v>
      </c>
      <c r="Z265" s="37"/>
      <c r="AA265" s="48">
        <f t="shared" si="313"/>
        <v>0</v>
      </c>
      <c r="AB265" s="37"/>
      <c r="AC265" s="48"/>
      <c r="AD265" s="37"/>
      <c r="AE265" s="48">
        <f t="shared" si="314"/>
        <v>0</v>
      </c>
      <c r="AF265" s="36"/>
      <c r="AG265" s="48">
        <f t="shared" si="315"/>
        <v>0</v>
      </c>
      <c r="AH265" s="37"/>
      <c r="AI265" s="48">
        <f t="shared" si="316"/>
        <v>0</v>
      </c>
      <c r="AJ265" s="48">
        <v>0</v>
      </c>
      <c r="AK265" s="48">
        <v>0</v>
      </c>
      <c r="AL265" s="37"/>
      <c r="AM265" s="48">
        <f t="shared" si="317"/>
        <v>0</v>
      </c>
      <c r="AN265" s="37"/>
      <c r="AO265" s="48">
        <f t="shared" si="318"/>
        <v>0</v>
      </c>
      <c r="AP265" s="37"/>
      <c r="AQ265" s="36"/>
      <c r="AR265" s="37"/>
      <c r="AS265" s="48"/>
      <c r="AT265" s="37"/>
      <c r="AU265" s="36"/>
      <c r="AV265" s="37"/>
      <c r="AW265" s="48"/>
      <c r="AX265" s="37"/>
      <c r="AY265" s="48"/>
      <c r="AZ265" s="37"/>
      <c r="BA265" s="48"/>
      <c r="BB265" s="37"/>
      <c r="BC265" s="48"/>
      <c r="BD265" s="37"/>
      <c r="BE265" s="48">
        <f t="shared" si="319"/>
        <v>0</v>
      </c>
      <c r="BF265" s="37"/>
      <c r="BG265" s="48">
        <f t="shared" si="320"/>
        <v>0</v>
      </c>
      <c r="BH265" s="63"/>
      <c r="BI265" s="48">
        <f t="shared" si="321"/>
        <v>0</v>
      </c>
      <c r="BJ265" s="40"/>
      <c r="BK265" s="48">
        <f t="shared" si="322"/>
        <v>0</v>
      </c>
      <c r="BL265" s="36"/>
      <c r="BM265" s="48">
        <f t="shared" si="333"/>
        <v>0</v>
      </c>
      <c r="BN265" s="37"/>
      <c r="BO265" s="48">
        <f t="shared" si="323"/>
        <v>0</v>
      </c>
      <c r="BP265" s="59"/>
      <c r="BQ265" s="48"/>
      <c r="BR265" s="40"/>
      <c r="BS265" s="48">
        <f t="shared" si="324"/>
        <v>0</v>
      </c>
      <c r="BT265" s="37"/>
      <c r="BU265" s="48">
        <f t="shared" si="325"/>
        <v>0</v>
      </c>
      <c r="BV265" s="36"/>
      <c r="BW265" s="48">
        <f t="shared" si="326"/>
        <v>0</v>
      </c>
      <c r="BX265" s="37"/>
      <c r="BY265" s="48">
        <f t="shared" si="327"/>
        <v>0</v>
      </c>
      <c r="BZ265" s="37"/>
      <c r="CA265" s="48">
        <f t="shared" si="328"/>
        <v>0</v>
      </c>
      <c r="CB265" s="37"/>
      <c r="CC265" s="48">
        <f t="shared" si="329"/>
        <v>0</v>
      </c>
      <c r="CD265" s="37"/>
      <c r="CE265" s="48">
        <f t="shared" si="330"/>
        <v>0</v>
      </c>
      <c r="CF265" s="37"/>
      <c r="CG265" s="48">
        <f t="shared" si="331"/>
        <v>0</v>
      </c>
      <c r="CH265" s="40"/>
      <c r="CI265" s="48">
        <f t="shared" si="332"/>
        <v>0</v>
      </c>
      <c r="CJ265" s="36"/>
      <c r="CK265" s="36"/>
      <c r="CL265" s="36"/>
      <c r="CM265" s="36"/>
      <c r="CN265" s="41"/>
      <c r="CO265" s="41"/>
      <c r="CP265" s="42">
        <f t="shared" si="307"/>
        <v>0</v>
      </c>
      <c r="CQ265" s="42">
        <f t="shared" si="307"/>
        <v>0</v>
      </c>
    </row>
    <row r="266" spans="1:95" s="3" customFormat="1" ht="45" hidden="1" customHeight="1" x14ac:dyDescent="0.25">
      <c r="A266" s="54"/>
      <c r="B266" s="54">
        <v>185</v>
      </c>
      <c r="C266" s="54" t="s">
        <v>645</v>
      </c>
      <c r="D266" s="55" t="s">
        <v>646</v>
      </c>
      <c r="E266" s="110">
        <v>16026</v>
      </c>
      <c r="F266" s="110">
        <v>16828</v>
      </c>
      <c r="G266" s="87">
        <v>10.34</v>
      </c>
      <c r="H266" s="71">
        <v>7.1999999999999998E-3</v>
      </c>
      <c r="I266" s="57">
        <v>1</v>
      </c>
      <c r="J266" s="115"/>
      <c r="K266" s="57"/>
      <c r="L266" s="65">
        <v>1.4</v>
      </c>
      <c r="M266" s="65">
        <v>1.68</v>
      </c>
      <c r="N266" s="65">
        <v>2.23</v>
      </c>
      <c r="O266" s="65">
        <v>2.57</v>
      </c>
      <c r="P266" s="36"/>
      <c r="Q266" s="48">
        <f t="shared" si="308"/>
        <v>0</v>
      </c>
      <c r="R266" s="37"/>
      <c r="S266" s="48">
        <f t="shared" si="309"/>
        <v>0</v>
      </c>
      <c r="T266" s="36"/>
      <c r="U266" s="48">
        <f t="shared" si="310"/>
        <v>0</v>
      </c>
      <c r="V266" s="36"/>
      <c r="W266" s="48">
        <f t="shared" si="311"/>
        <v>0</v>
      </c>
      <c r="X266" s="37"/>
      <c r="Y266" s="48">
        <f t="shared" si="312"/>
        <v>0</v>
      </c>
      <c r="Z266" s="37"/>
      <c r="AA266" s="48">
        <f t="shared" si="313"/>
        <v>0</v>
      </c>
      <c r="AB266" s="37"/>
      <c r="AC266" s="48"/>
      <c r="AD266" s="37"/>
      <c r="AE266" s="48">
        <f t="shared" si="314"/>
        <v>0</v>
      </c>
      <c r="AF266" s="36"/>
      <c r="AG266" s="48">
        <f t="shared" si="315"/>
        <v>0</v>
      </c>
      <c r="AH266" s="37"/>
      <c r="AI266" s="48">
        <f t="shared" si="316"/>
        <v>0</v>
      </c>
      <c r="AJ266" s="48">
        <v>0</v>
      </c>
      <c r="AK266" s="48">
        <v>0</v>
      </c>
      <c r="AL266" s="37"/>
      <c r="AM266" s="48">
        <f t="shared" si="317"/>
        <v>0</v>
      </c>
      <c r="AN266" s="37"/>
      <c r="AO266" s="48">
        <f t="shared" si="318"/>
        <v>0</v>
      </c>
      <c r="AP266" s="37"/>
      <c r="AQ266" s="36"/>
      <c r="AR266" s="37"/>
      <c r="AS266" s="48"/>
      <c r="AT266" s="37"/>
      <c r="AU266" s="36"/>
      <c r="AV266" s="37"/>
      <c r="AW266" s="48"/>
      <c r="AX266" s="37"/>
      <c r="AY266" s="48"/>
      <c r="AZ266" s="37"/>
      <c r="BA266" s="48"/>
      <c r="BB266" s="37"/>
      <c r="BC266" s="48"/>
      <c r="BD266" s="37"/>
      <c r="BE266" s="48">
        <f t="shared" si="319"/>
        <v>0</v>
      </c>
      <c r="BF266" s="37"/>
      <c r="BG266" s="48">
        <f t="shared" si="320"/>
        <v>0</v>
      </c>
      <c r="BH266" s="63"/>
      <c r="BI266" s="48">
        <f t="shared" si="321"/>
        <v>0</v>
      </c>
      <c r="BJ266" s="40"/>
      <c r="BK266" s="48">
        <f>(BJ266/12*2*$E266*$G266*((1-$H266)+$H266*$M266*$I266*BK$9))+(BJ266/12*10*$F266*$G266*((1-$H266)+$H266*$M266*$I266*BK$9))</f>
        <v>0</v>
      </c>
      <c r="BL266" s="36"/>
      <c r="BM266" s="48">
        <f t="shared" si="333"/>
        <v>0</v>
      </c>
      <c r="BN266" s="37"/>
      <c r="BO266" s="48">
        <f t="shared" si="323"/>
        <v>0</v>
      </c>
      <c r="BP266" s="59"/>
      <c r="BQ266" s="48"/>
      <c r="BR266" s="40"/>
      <c r="BS266" s="48">
        <f t="shared" si="324"/>
        <v>0</v>
      </c>
      <c r="BT266" s="37"/>
      <c r="BU266" s="48">
        <f t="shared" si="325"/>
        <v>0</v>
      </c>
      <c r="BV266" s="36"/>
      <c r="BW266" s="48">
        <f t="shared" si="326"/>
        <v>0</v>
      </c>
      <c r="BX266" s="37"/>
      <c r="BY266" s="48">
        <f t="shared" si="327"/>
        <v>0</v>
      </c>
      <c r="BZ266" s="37"/>
      <c r="CA266" s="48">
        <f t="shared" si="328"/>
        <v>0</v>
      </c>
      <c r="CB266" s="37"/>
      <c r="CC266" s="48">
        <f t="shared" si="329"/>
        <v>0</v>
      </c>
      <c r="CD266" s="37"/>
      <c r="CE266" s="48">
        <f t="shared" si="330"/>
        <v>0</v>
      </c>
      <c r="CF266" s="37"/>
      <c r="CG266" s="48">
        <f t="shared" si="331"/>
        <v>0</v>
      </c>
      <c r="CH266" s="40"/>
      <c r="CI266" s="48">
        <f t="shared" si="332"/>
        <v>0</v>
      </c>
      <c r="CJ266" s="36"/>
      <c r="CK266" s="36"/>
      <c r="CL266" s="36"/>
      <c r="CM266" s="36"/>
      <c r="CN266" s="41"/>
      <c r="CO266" s="41"/>
      <c r="CP266" s="42">
        <f t="shared" si="307"/>
        <v>0</v>
      </c>
      <c r="CQ266" s="42">
        <f t="shared" si="307"/>
        <v>0</v>
      </c>
    </row>
    <row r="267" spans="1:95" s="3" customFormat="1" ht="45" hidden="1" customHeight="1" x14ac:dyDescent="0.25">
      <c r="A267" s="54"/>
      <c r="B267" s="54">
        <v>186</v>
      </c>
      <c r="C267" s="54" t="s">
        <v>647</v>
      </c>
      <c r="D267" s="55" t="s">
        <v>648</v>
      </c>
      <c r="E267" s="110">
        <v>16026</v>
      </c>
      <c r="F267" s="110">
        <v>16828</v>
      </c>
      <c r="G267" s="87">
        <v>13.16</v>
      </c>
      <c r="H267" s="71">
        <v>3.8999999999999998E-3</v>
      </c>
      <c r="I267" s="57">
        <v>1</v>
      </c>
      <c r="J267" s="115"/>
      <c r="K267" s="57"/>
      <c r="L267" s="65">
        <v>1.4</v>
      </c>
      <c r="M267" s="65">
        <v>1.68</v>
      </c>
      <c r="N267" s="65">
        <v>2.23</v>
      </c>
      <c r="O267" s="65">
        <v>2.57</v>
      </c>
      <c r="P267" s="36"/>
      <c r="Q267" s="48">
        <f t="shared" si="308"/>
        <v>0</v>
      </c>
      <c r="R267" s="37"/>
      <c r="S267" s="48">
        <f t="shared" si="309"/>
        <v>0</v>
      </c>
      <c r="T267" s="36"/>
      <c r="U267" s="48">
        <f t="shared" si="310"/>
        <v>0</v>
      </c>
      <c r="V267" s="36"/>
      <c r="W267" s="48">
        <f t="shared" si="311"/>
        <v>0</v>
      </c>
      <c r="X267" s="37"/>
      <c r="Y267" s="48">
        <f t="shared" si="312"/>
        <v>0</v>
      </c>
      <c r="Z267" s="37"/>
      <c r="AA267" s="48">
        <f t="shared" si="313"/>
        <v>0</v>
      </c>
      <c r="AB267" s="37"/>
      <c r="AC267" s="48"/>
      <c r="AD267" s="37"/>
      <c r="AE267" s="48">
        <f t="shared" si="314"/>
        <v>0</v>
      </c>
      <c r="AF267" s="36"/>
      <c r="AG267" s="48">
        <f t="shared" si="315"/>
        <v>0</v>
      </c>
      <c r="AH267" s="37"/>
      <c r="AI267" s="48">
        <f t="shared" si="316"/>
        <v>0</v>
      </c>
      <c r="AJ267" s="48">
        <v>0</v>
      </c>
      <c r="AK267" s="48">
        <v>0</v>
      </c>
      <c r="AL267" s="37"/>
      <c r="AM267" s="48">
        <f t="shared" si="317"/>
        <v>0</v>
      </c>
      <c r="AN267" s="37"/>
      <c r="AO267" s="48">
        <f t="shared" si="318"/>
        <v>0</v>
      </c>
      <c r="AP267" s="37"/>
      <c r="AQ267" s="36"/>
      <c r="AR267" s="37"/>
      <c r="AS267" s="48"/>
      <c r="AT267" s="37"/>
      <c r="AU267" s="36"/>
      <c r="AV267" s="37"/>
      <c r="AW267" s="48"/>
      <c r="AX267" s="37"/>
      <c r="AY267" s="48"/>
      <c r="AZ267" s="37"/>
      <c r="BA267" s="48"/>
      <c r="BB267" s="37"/>
      <c r="BC267" s="48"/>
      <c r="BD267" s="37"/>
      <c r="BE267" s="48">
        <f t="shared" si="319"/>
        <v>0</v>
      </c>
      <c r="BF267" s="37"/>
      <c r="BG267" s="48">
        <f t="shared" si="320"/>
        <v>0</v>
      </c>
      <c r="BH267" s="63">
        <v>4</v>
      </c>
      <c r="BI267" s="48">
        <f>(BH267/12*2*$E267*$G267*((1-$H267)+$H267*$M267*$I267*BI$9))+(BH267/12*10*$F267*$G267*((1-$H267)+$H267*$M267*$I267*BI$9))</f>
        <v>881120.25696874643</v>
      </c>
      <c r="BJ267" s="40"/>
      <c r="BK267" s="48">
        <f t="shared" si="322"/>
        <v>0</v>
      </c>
      <c r="BL267" s="36"/>
      <c r="BM267" s="48">
        <f t="shared" si="333"/>
        <v>0</v>
      </c>
      <c r="BN267" s="37"/>
      <c r="BO267" s="48">
        <f t="shared" si="323"/>
        <v>0</v>
      </c>
      <c r="BP267" s="59"/>
      <c r="BQ267" s="48"/>
      <c r="BR267" s="40"/>
      <c r="BS267" s="48">
        <f t="shared" si="324"/>
        <v>0</v>
      </c>
      <c r="BT267" s="37"/>
      <c r="BU267" s="48">
        <f t="shared" si="325"/>
        <v>0</v>
      </c>
      <c r="BV267" s="36"/>
      <c r="BW267" s="48">
        <f t="shared" si="326"/>
        <v>0</v>
      </c>
      <c r="BX267" s="37"/>
      <c r="BY267" s="48">
        <f t="shared" si="327"/>
        <v>0</v>
      </c>
      <c r="BZ267" s="37"/>
      <c r="CA267" s="48">
        <f t="shared" si="328"/>
        <v>0</v>
      </c>
      <c r="CB267" s="37"/>
      <c r="CC267" s="48">
        <f t="shared" si="329"/>
        <v>0</v>
      </c>
      <c r="CD267" s="37"/>
      <c r="CE267" s="48">
        <f t="shared" si="330"/>
        <v>0</v>
      </c>
      <c r="CF267" s="37"/>
      <c r="CG267" s="48">
        <f t="shared" si="331"/>
        <v>0</v>
      </c>
      <c r="CH267" s="40"/>
      <c r="CI267" s="48">
        <f t="shared" si="332"/>
        <v>0</v>
      </c>
      <c r="CJ267" s="36"/>
      <c r="CK267" s="36"/>
      <c r="CL267" s="36"/>
      <c r="CM267" s="36"/>
      <c r="CN267" s="41"/>
      <c r="CO267" s="41"/>
      <c r="CP267" s="42">
        <f t="shared" si="307"/>
        <v>4</v>
      </c>
      <c r="CQ267" s="42">
        <f t="shared" si="307"/>
        <v>881120.25696874643</v>
      </c>
    </row>
    <row r="268" spans="1:95" s="3" customFormat="1" ht="45" hidden="1" customHeight="1" x14ac:dyDescent="0.25">
      <c r="A268" s="54"/>
      <c r="B268" s="54">
        <v>187</v>
      </c>
      <c r="C268" s="54" t="s">
        <v>649</v>
      </c>
      <c r="D268" s="55" t="s">
        <v>650</v>
      </c>
      <c r="E268" s="110">
        <v>16026</v>
      </c>
      <c r="F268" s="110">
        <v>16828</v>
      </c>
      <c r="G268" s="87">
        <v>26.07</v>
      </c>
      <c r="H268" s="71">
        <v>2.8199999999999999E-2</v>
      </c>
      <c r="I268" s="57">
        <v>1</v>
      </c>
      <c r="J268" s="115"/>
      <c r="K268" s="57"/>
      <c r="L268" s="65">
        <v>1.4</v>
      </c>
      <c r="M268" s="65">
        <v>1.68</v>
      </c>
      <c r="N268" s="65">
        <v>2.23</v>
      </c>
      <c r="O268" s="65">
        <v>2.57</v>
      </c>
      <c r="P268" s="36"/>
      <c r="Q268" s="48">
        <f t="shared" si="308"/>
        <v>0</v>
      </c>
      <c r="R268" s="37"/>
      <c r="S268" s="48">
        <f t="shared" si="309"/>
        <v>0</v>
      </c>
      <c r="T268" s="36"/>
      <c r="U268" s="48">
        <f t="shared" si="310"/>
        <v>0</v>
      </c>
      <c r="V268" s="36"/>
      <c r="W268" s="48">
        <f t="shared" si="311"/>
        <v>0</v>
      </c>
      <c r="X268" s="37"/>
      <c r="Y268" s="48">
        <f t="shared" si="312"/>
        <v>0</v>
      </c>
      <c r="Z268" s="37"/>
      <c r="AA268" s="48">
        <f t="shared" si="313"/>
        <v>0</v>
      </c>
      <c r="AB268" s="37"/>
      <c r="AC268" s="48"/>
      <c r="AD268" s="37"/>
      <c r="AE268" s="48">
        <f t="shared" si="314"/>
        <v>0</v>
      </c>
      <c r="AF268" s="36"/>
      <c r="AG268" s="48">
        <f t="shared" si="315"/>
        <v>0</v>
      </c>
      <c r="AH268" s="37"/>
      <c r="AI268" s="48">
        <f t="shared" si="316"/>
        <v>0</v>
      </c>
      <c r="AJ268" s="48">
        <v>0</v>
      </c>
      <c r="AK268" s="48">
        <v>0</v>
      </c>
      <c r="AL268" s="37"/>
      <c r="AM268" s="48">
        <f t="shared" si="317"/>
        <v>0</v>
      </c>
      <c r="AN268" s="37"/>
      <c r="AO268" s="48">
        <f t="shared" si="318"/>
        <v>0</v>
      </c>
      <c r="AP268" s="37"/>
      <c r="AQ268" s="36"/>
      <c r="AR268" s="37"/>
      <c r="AS268" s="48"/>
      <c r="AT268" s="37"/>
      <c r="AU268" s="36"/>
      <c r="AV268" s="37"/>
      <c r="AW268" s="48"/>
      <c r="AX268" s="37"/>
      <c r="AY268" s="48"/>
      <c r="AZ268" s="37"/>
      <c r="BA268" s="48"/>
      <c r="BB268" s="37"/>
      <c r="BC268" s="48"/>
      <c r="BD268" s="37"/>
      <c r="BE268" s="48">
        <f t="shared" si="319"/>
        <v>0</v>
      </c>
      <c r="BF268" s="37"/>
      <c r="BG268" s="48">
        <f t="shared" si="320"/>
        <v>0</v>
      </c>
      <c r="BH268" s="63"/>
      <c r="BI268" s="48">
        <f t="shared" si="321"/>
        <v>0</v>
      </c>
      <c r="BJ268" s="40"/>
      <c r="BK268" s="48">
        <f t="shared" si="322"/>
        <v>0</v>
      </c>
      <c r="BL268" s="36"/>
      <c r="BM268" s="48">
        <f t="shared" si="333"/>
        <v>0</v>
      </c>
      <c r="BN268" s="37"/>
      <c r="BO268" s="48">
        <f t="shared" si="323"/>
        <v>0</v>
      </c>
      <c r="BP268" s="59"/>
      <c r="BQ268" s="48"/>
      <c r="BR268" s="40"/>
      <c r="BS268" s="48">
        <f t="shared" si="324"/>
        <v>0</v>
      </c>
      <c r="BT268" s="37"/>
      <c r="BU268" s="48">
        <f t="shared" si="325"/>
        <v>0</v>
      </c>
      <c r="BV268" s="36"/>
      <c r="BW268" s="48">
        <f t="shared" si="326"/>
        <v>0</v>
      </c>
      <c r="BX268" s="37"/>
      <c r="BY268" s="48">
        <f t="shared" si="327"/>
        <v>0</v>
      </c>
      <c r="BZ268" s="37"/>
      <c r="CA268" s="48">
        <f t="shared" si="328"/>
        <v>0</v>
      </c>
      <c r="CB268" s="37"/>
      <c r="CC268" s="48">
        <f t="shared" si="329"/>
        <v>0</v>
      </c>
      <c r="CD268" s="37"/>
      <c r="CE268" s="48">
        <f t="shared" si="330"/>
        <v>0</v>
      </c>
      <c r="CF268" s="37"/>
      <c r="CG268" s="48">
        <f t="shared" si="331"/>
        <v>0</v>
      </c>
      <c r="CH268" s="40"/>
      <c r="CI268" s="48">
        <f t="shared" si="332"/>
        <v>0</v>
      </c>
      <c r="CJ268" s="36"/>
      <c r="CK268" s="36"/>
      <c r="CL268" s="36"/>
      <c r="CM268" s="36"/>
      <c r="CN268" s="41"/>
      <c r="CO268" s="41"/>
      <c r="CP268" s="42">
        <f t="shared" si="307"/>
        <v>0</v>
      </c>
      <c r="CQ268" s="42">
        <f t="shared" si="307"/>
        <v>0</v>
      </c>
    </row>
    <row r="269" spans="1:95" s="3" customFormat="1" ht="45" hidden="1" customHeight="1" x14ac:dyDescent="0.25">
      <c r="A269" s="54"/>
      <c r="B269" s="54">
        <v>188</v>
      </c>
      <c r="C269" s="54" t="s">
        <v>651</v>
      </c>
      <c r="D269" s="55" t="s">
        <v>652</v>
      </c>
      <c r="E269" s="110">
        <v>16026</v>
      </c>
      <c r="F269" s="110">
        <v>16828</v>
      </c>
      <c r="G269" s="87">
        <v>37.229999999999997</v>
      </c>
      <c r="H269" s="71">
        <v>6.9999999999999999E-4</v>
      </c>
      <c r="I269" s="57">
        <v>1</v>
      </c>
      <c r="J269" s="115"/>
      <c r="K269" s="57"/>
      <c r="L269" s="65">
        <v>1.4</v>
      </c>
      <c r="M269" s="65">
        <v>1.68</v>
      </c>
      <c r="N269" s="65">
        <v>2.23</v>
      </c>
      <c r="O269" s="65">
        <v>2.57</v>
      </c>
      <c r="P269" s="36"/>
      <c r="Q269" s="48">
        <f t="shared" si="308"/>
        <v>0</v>
      </c>
      <c r="R269" s="37"/>
      <c r="S269" s="48">
        <f t="shared" si="309"/>
        <v>0</v>
      </c>
      <c r="T269" s="36"/>
      <c r="U269" s="48">
        <f t="shared" si="310"/>
        <v>0</v>
      </c>
      <c r="V269" s="36"/>
      <c r="W269" s="48">
        <f t="shared" si="311"/>
        <v>0</v>
      </c>
      <c r="X269" s="37"/>
      <c r="Y269" s="48">
        <f t="shared" si="312"/>
        <v>0</v>
      </c>
      <c r="Z269" s="37"/>
      <c r="AA269" s="48">
        <f t="shared" si="313"/>
        <v>0</v>
      </c>
      <c r="AB269" s="37"/>
      <c r="AC269" s="48"/>
      <c r="AD269" s="37"/>
      <c r="AE269" s="48">
        <f t="shared" si="314"/>
        <v>0</v>
      </c>
      <c r="AF269" s="36"/>
      <c r="AG269" s="48">
        <f t="shared" si="315"/>
        <v>0</v>
      </c>
      <c r="AH269" s="37"/>
      <c r="AI269" s="48">
        <f t="shared" si="316"/>
        <v>0</v>
      </c>
      <c r="AJ269" s="48">
        <v>0</v>
      </c>
      <c r="AK269" s="48">
        <v>0</v>
      </c>
      <c r="AL269" s="37"/>
      <c r="AM269" s="48">
        <f t="shared" si="317"/>
        <v>0</v>
      </c>
      <c r="AN269" s="37"/>
      <c r="AO269" s="48">
        <f t="shared" si="318"/>
        <v>0</v>
      </c>
      <c r="AP269" s="37"/>
      <c r="AQ269" s="36"/>
      <c r="AR269" s="37"/>
      <c r="AS269" s="48"/>
      <c r="AT269" s="37"/>
      <c r="AU269" s="36"/>
      <c r="AV269" s="37"/>
      <c r="AW269" s="48"/>
      <c r="AX269" s="37"/>
      <c r="AY269" s="48"/>
      <c r="AZ269" s="37"/>
      <c r="BA269" s="48"/>
      <c r="BB269" s="37"/>
      <c r="BC269" s="48"/>
      <c r="BD269" s="37"/>
      <c r="BE269" s="48">
        <f t="shared" si="319"/>
        <v>0</v>
      </c>
      <c r="BF269" s="37"/>
      <c r="BG269" s="48">
        <f t="shared" si="320"/>
        <v>0</v>
      </c>
      <c r="BH269" s="63"/>
      <c r="BI269" s="48">
        <f t="shared" si="321"/>
        <v>0</v>
      </c>
      <c r="BJ269" s="40"/>
      <c r="BK269" s="48">
        <f t="shared" si="322"/>
        <v>0</v>
      </c>
      <c r="BL269" s="36"/>
      <c r="BM269" s="48">
        <f t="shared" si="333"/>
        <v>0</v>
      </c>
      <c r="BN269" s="37"/>
      <c r="BO269" s="48">
        <f t="shared" si="323"/>
        <v>0</v>
      </c>
      <c r="BP269" s="59"/>
      <c r="BQ269" s="48"/>
      <c r="BR269" s="40"/>
      <c r="BS269" s="48">
        <f t="shared" si="324"/>
        <v>0</v>
      </c>
      <c r="BT269" s="37"/>
      <c r="BU269" s="48">
        <f t="shared" si="325"/>
        <v>0</v>
      </c>
      <c r="BV269" s="36"/>
      <c r="BW269" s="48">
        <f t="shared" si="326"/>
        <v>0</v>
      </c>
      <c r="BX269" s="37"/>
      <c r="BY269" s="48">
        <f t="shared" si="327"/>
        <v>0</v>
      </c>
      <c r="BZ269" s="37"/>
      <c r="CA269" s="48">
        <f t="shared" si="328"/>
        <v>0</v>
      </c>
      <c r="CB269" s="37"/>
      <c r="CC269" s="48">
        <f t="shared" si="329"/>
        <v>0</v>
      </c>
      <c r="CD269" s="37"/>
      <c r="CE269" s="48">
        <f t="shared" si="330"/>
        <v>0</v>
      </c>
      <c r="CF269" s="37"/>
      <c r="CG269" s="48">
        <f t="shared" si="331"/>
        <v>0</v>
      </c>
      <c r="CH269" s="40"/>
      <c r="CI269" s="48">
        <f t="shared" si="332"/>
        <v>0</v>
      </c>
      <c r="CJ269" s="36"/>
      <c r="CK269" s="36"/>
      <c r="CL269" s="36"/>
      <c r="CM269" s="36"/>
      <c r="CN269" s="41"/>
      <c r="CO269" s="41"/>
      <c r="CP269" s="42">
        <f t="shared" si="307"/>
        <v>0</v>
      </c>
      <c r="CQ269" s="42">
        <f t="shared" si="307"/>
        <v>0</v>
      </c>
    </row>
    <row r="270" spans="1:95" s="3" customFormat="1" ht="45" hidden="1" customHeight="1" x14ac:dyDescent="0.25">
      <c r="A270" s="54"/>
      <c r="B270" s="54">
        <v>189</v>
      </c>
      <c r="C270" s="54" t="s">
        <v>653</v>
      </c>
      <c r="D270" s="55" t="s">
        <v>654</v>
      </c>
      <c r="E270" s="110">
        <v>16026</v>
      </c>
      <c r="F270" s="110">
        <v>16828</v>
      </c>
      <c r="G270" s="87">
        <v>71.430000000000007</v>
      </c>
      <c r="H270" s="71">
        <v>2.9999999999999997E-4</v>
      </c>
      <c r="I270" s="57">
        <v>1</v>
      </c>
      <c r="J270" s="115"/>
      <c r="K270" s="57"/>
      <c r="L270" s="65">
        <v>1.4</v>
      </c>
      <c r="M270" s="65">
        <v>1.68</v>
      </c>
      <c r="N270" s="65">
        <v>2.23</v>
      </c>
      <c r="O270" s="65">
        <v>2.57</v>
      </c>
      <c r="P270" s="36"/>
      <c r="Q270" s="48">
        <f t="shared" si="308"/>
        <v>0</v>
      </c>
      <c r="R270" s="37"/>
      <c r="S270" s="48">
        <f t="shared" si="309"/>
        <v>0</v>
      </c>
      <c r="T270" s="36"/>
      <c r="U270" s="48">
        <f t="shared" si="310"/>
        <v>0</v>
      </c>
      <c r="V270" s="36"/>
      <c r="W270" s="48">
        <f t="shared" si="311"/>
        <v>0</v>
      </c>
      <c r="X270" s="37"/>
      <c r="Y270" s="48">
        <f t="shared" si="312"/>
        <v>0</v>
      </c>
      <c r="Z270" s="37"/>
      <c r="AA270" s="48">
        <f t="shared" si="313"/>
        <v>0</v>
      </c>
      <c r="AB270" s="37"/>
      <c r="AC270" s="48"/>
      <c r="AD270" s="37"/>
      <c r="AE270" s="48">
        <f t="shared" si="314"/>
        <v>0</v>
      </c>
      <c r="AF270" s="36"/>
      <c r="AG270" s="48">
        <f t="shared" si="315"/>
        <v>0</v>
      </c>
      <c r="AH270" s="37"/>
      <c r="AI270" s="48">
        <f t="shared" si="316"/>
        <v>0</v>
      </c>
      <c r="AJ270" s="48">
        <v>0</v>
      </c>
      <c r="AK270" s="48">
        <v>0</v>
      </c>
      <c r="AL270" s="37"/>
      <c r="AM270" s="48">
        <f t="shared" si="317"/>
        <v>0</v>
      </c>
      <c r="AN270" s="37"/>
      <c r="AO270" s="48">
        <f t="shared" si="318"/>
        <v>0</v>
      </c>
      <c r="AP270" s="37"/>
      <c r="AQ270" s="36"/>
      <c r="AR270" s="37"/>
      <c r="AS270" s="48"/>
      <c r="AT270" s="37"/>
      <c r="AU270" s="36"/>
      <c r="AV270" s="37"/>
      <c r="AW270" s="48"/>
      <c r="AX270" s="37"/>
      <c r="AY270" s="48"/>
      <c r="AZ270" s="37"/>
      <c r="BA270" s="48"/>
      <c r="BB270" s="37"/>
      <c r="BC270" s="48"/>
      <c r="BD270" s="37"/>
      <c r="BE270" s="48">
        <f t="shared" si="319"/>
        <v>0</v>
      </c>
      <c r="BF270" s="37"/>
      <c r="BG270" s="48">
        <f t="shared" si="320"/>
        <v>0</v>
      </c>
      <c r="BH270" s="63"/>
      <c r="BI270" s="48">
        <f t="shared" si="321"/>
        <v>0</v>
      </c>
      <c r="BJ270" s="40"/>
      <c r="BK270" s="48">
        <f t="shared" si="322"/>
        <v>0</v>
      </c>
      <c r="BL270" s="36"/>
      <c r="BM270" s="48">
        <f t="shared" si="333"/>
        <v>0</v>
      </c>
      <c r="BN270" s="37"/>
      <c r="BO270" s="48">
        <f t="shared" si="323"/>
        <v>0</v>
      </c>
      <c r="BP270" s="59"/>
      <c r="BQ270" s="48"/>
      <c r="BR270" s="40"/>
      <c r="BS270" s="48">
        <f t="shared" si="324"/>
        <v>0</v>
      </c>
      <c r="BT270" s="37"/>
      <c r="BU270" s="48">
        <f t="shared" si="325"/>
        <v>0</v>
      </c>
      <c r="BV270" s="36"/>
      <c r="BW270" s="48">
        <f t="shared" si="326"/>
        <v>0</v>
      </c>
      <c r="BX270" s="37"/>
      <c r="BY270" s="48">
        <f t="shared" si="327"/>
        <v>0</v>
      </c>
      <c r="BZ270" s="37"/>
      <c r="CA270" s="48">
        <f t="shared" si="328"/>
        <v>0</v>
      </c>
      <c r="CB270" s="37"/>
      <c r="CC270" s="48">
        <f t="shared" si="329"/>
        <v>0</v>
      </c>
      <c r="CD270" s="37"/>
      <c r="CE270" s="48">
        <f t="shared" si="330"/>
        <v>0</v>
      </c>
      <c r="CF270" s="37"/>
      <c r="CG270" s="48">
        <f t="shared" si="331"/>
        <v>0</v>
      </c>
      <c r="CH270" s="40"/>
      <c r="CI270" s="48">
        <f t="shared" si="332"/>
        <v>0</v>
      </c>
      <c r="CJ270" s="36"/>
      <c r="CK270" s="36"/>
      <c r="CL270" s="36"/>
      <c r="CM270" s="36"/>
      <c r="CN270" s="41"/>
      <c r="CO270" s="41"/>
      <c r="CP270" s="42">
        <f t="shared" si="307"/>
        <v>0</v>
      </c>
      <c r="CQ270" s="42">
        <f t="shared" si="307"/>
        <v>0</v>
      </c>
    </row>
    <row r="271" spans="1:95" s="3" customFormat="1" ht="45" hidden="1" customHeight="1" x14ac:dyDescent="0.25">
      <c r="A271" s="54"/>
      <c r="B271" s="54">
        <v>190</v>
      </c>
      <c r="C271" s="54" t="s">
        <v>655</v>
      </c>
      <c r="D271" s="55" t="s">
        <v>656</v>
      </c>
      <c r="E271" s="110">
        <v>16026</v>
      </c>
      <c r="F271" s="110">
        <v>16828</v>
      </c>
      <c r="G271" s="87">
        <v>144.84</v>
      </c>
      <c r="H271" s="71">
        <v>2.0000000000000001E-4</v>
      </c>
      <c r="I271" s="57">
        <v>1</v>
      </c>
      <c r="J271" s="115"/>
      <c r="K271" s="57"/>
      <c r="L271" s="65">
        <v>1.4</v>
      </c>
      <c r="M271" s="65">
        <v>1.68</v>
      </c>
      <c r="N271" s="65">
        <v>2.23</v>
      </c>
      <c r="O271" s="65">
        <v>2.57</v>
      </c>
      <c r="P271" s="36"/>
      <c r="Q271" s="48">
        <f>(P271/12*2*$E271*$G271*((1-$H271)+$H271*$L271*$I271))+(P271/12*10*$F271*$G271*((1-$H271)+$H271*$L271*$I271))</f>
        <v>0</v>
      </c>
      <c r="R271" s="37"/>
      <c r="S271" s="48">
        <f t="shared" si="309"/>
        <v>0</v>
      </c>
      <c r="T271" s="36"/>
      <c r="U271" s="48">
        <f t="shared" si="310"/>
        <v>0</v>
      </c>
      <c r="V271" s="36"/>
      <c r="W271" s="48">
        <f t="shared" si="311"/>
        <v>0</v>
      </c>
      <c r="X271" s="37"/>
      <c r="Y271" s="48">
        <f t="shared" si="312"/>
        <v>0</v>
      </c>
      <c r="Z271" s="37"/>
      <c r="AA271" s="48">
        <f t="shared" si="313"/>
        <v>0</v>
      </c>
      <c r="AB271" s="37"/>
      <c r="AC271" s="48"/>
      <c r="AD271" s="37"/>
      <c r="AE271" s="48">
        <f t="shared" si="314"/>
        <v>0</v>
      </c>
      <c r="AF271" s="36"/>
      <c r="AG271" s="48">
        <f t="shared" si="315"/>
        <v>0</v>
      </c>
      <c r="AH271" s="37"/>
      <c r="AI271" s="48">
        <f t="shared" si="316"/>
        <v>0</v>
      </c>
      <c r="AJ271" s="48">
        <v>0</v>
      </c>
      <c r="AK271" s="48">
        <v>0</v>
      </c>
      <c r="AL271" s="37"/>
      <c r="AM271" s="48">
        <f t="shared" si="317"/>
        <v>0</v>
      </c>
      <c r="AN271" s="37"/>
      <c r="AO271" s="48">
        <f t="shared" si="318"/>
        <v>0</v>
      </c>
      <c r="AP271" s="37"/>
      <c r="AQ271" s="36"/>
      <c r="AR271" s="37"/>
      <c r="AS271" s="48"/>
      <c r="AT271" s="37"/>
      <c r="AU271" s="36"/>
      <c r="AV271" s="37"/>
      <c r="AW271" s="48"/>
      <c r="AX271" s="37"/>
      <c r="AY271" s="48"/>
      <c r="AZ271" s="37"/>
      <c r="BA271" s="48"/>
      <c r="BB271" s="37"/>
      <c r="BC271" s="48"/>
      <c r="BD271" s="37"/>
      <c r="BE271" s="48">
        <f t="shared" si="319"/>
        <v>0</v>
      </c>
      <c r="BF271" s="37"/>
      <c r="BG271" s="48">
        <f t="shared" si="320"/>
        <v>0</v>
      </c>
      <c r="BH271" s="60"/>
      <c r="BI271" s="48">
        <f t="shared" si="321"/>
        <v>0</v>
      </c>
      <c r="BJ271" s="40"/>
      <c r="BK271" s="48">
        <f t="shared" si="322"/>
        <v>0</v>
      </c>
      <c r="BL271" s="36"/>
      <c r="BM271" s="48">
        <f t="shared" si="333"/>
        <v>0</v>
      </c>
      <c r="BN271" s="37"/>
      <c r="BO271" s="48">
        <f t="shared" si="323"/>
        <v>0</v>
      </c>
      <c r="BP271" s="59"/>
      <c r="BQ271" s="48"/>
      <c r="BR271" s="40"/>
      <c r="BS271" s="48">
        <f t="shared" si="324"/>
        <v>0</v>
      </c>
      <c r="BT271" s="37"/>
      <c r="BU271" s="48">
        <f t="shared" si="325"/>
        <v>0</v>
      </c>
      <c r="BV271" s="36"/>
      <c r="BW271" s="48">
        <f t="shared" si="326"/>
        <v>0</v>
      </c>
      <c r="BX271" s="37"/>
      <c r="BY271" s="48">
        <f t="shared" si="327"/>
        <v>0</v>
      </c>
      <c r="BZ271" s="37"/>
      <c r="CA271" s="48">
        <f t="shared" si="328"/>
        <v>0</v>
      </c>
      <c r="CB271" s="37"/>
      <c r="CC271" s="48">
        <f t="shared" si="329"/>
        <v>0</v>
      </c>
      <c r="CD271" s="37"/>
      <c r="CE271" s="48">
        <f t="shared" si="330"/>
        <v>0</v>
      </c>
      <c r="CF271" s="37"/>
      <c r="CG271" s="48">
        <f t="shared" si="331"/>
        <v>0</v>
      </c>
      <c r="CH271" s="40"/>
      <c r="CI271" s="48">
        <f t="shared" si="332"/>
        <v>0</v>
      </c>
      <c r="CJ271" s="36"/>
      <c r="CK271" s="36"/>
      <c r="CL271" s="36"/>
      <c r="CM271" s="36"/>
      <c r="CN271" s="41"/>
      <c r="CO271" s="41"/>
      <c r="CP271" s="42">
        <f t="shared" si="307"/>
        <v>0</v>
      </c>
      <c r="CQ271" s="42">
        <f t="shared" si="307"/>
        <v>0</v>
      </c>
    </row>
    <row r="272" spans="1:95" s="3" customFormat="1" ht="62.25" hidden="1" customHeight="1" x14ac:dyDescent="0.25">
      <c r="A272" s="54"/>
      <c r="B272" s="54">
        <v>191</v>
      </c>
      <c r="C272" s="54" t="s">
        <v>657</v>
      </c>
      <c r="D272" s="55" t="s">
        <v>658</v>
      </c>
      <c r="E272" s="110">
        <v>16026</v>
      </c>
      <c r="F272" s="110">
        <v>16828</v>
      </c>
      <c r="G272" s="76">
        <v>5.07</v>
      </c>
      <c r="H272" s="88"/>
      <c r="I272" s="57">
        <v>1</v>
      </c>
      <c r="J272" s="115"/>
      <c r="K272" s="57"/>
      <c r="L272" s="65">
        <v>1.4</v>
      </c>
      <c r="M272" s="65">
        <v>1.68</v>
      </c>
      <c r="N272" s="65">
        <v>2.23</v>
      </c>
      <c r="O272" s="65">
        <v>2.57</v>
      </c>
      <c r="P272" s="36"/>
      <c r="Q272" s="36">
        <f>SUM(P272/12*2*$E272*$G272*$I272*$L272*$Q$9)+(P272/12*10*$F272*$G272*$I272*$L272*$Q$9)</f>
        <v>0</v>
      </c>
      <c r="R272" s="37"/>
      <c r="S272" s="36">
        <f>SUM(R272/12*2*$E272*$G272*$I272*$L272*S$9)+(R272/12*10*$F272*$G272*$I272*$L272*S$9)</f>
        <v>0</v>
      </c>
      <c r="T272" s="36"/>
      <c r="U272" s="36">
        <f>SUM(T272/12*2*$E272*$G272*$I272*$L272*U$9)+(T272/12*10*$F272*$G272*$I272*$L272*U$9)</f>
        <v>0</v>
      </c>
      <c r="V272" s="36"/>
      <c r="W272" s="36">
        <f>SUM(V272/12*2*$E272*$G272*$I272*$L272*$W$9)+(V272/12*10*$F272*$G272*$I272*$L272*$W$9)</f>
        <v>0</v>
      </c>
      <c r="X272" s="37"/>
      <c r="Y272" s="38">
        <f>SUM(X272/12*2*$E272*$G272*$I272*$L272*Y$9)+(X272/12*10*$F272*$G272*$I272*$L272*Y$9)</f>
        <v>0</v>
      </c>
      <c r="Z272" s="37"/>
      <c r="AA272" s="36"/>
      <c r="AB272" s="37"/>
      <c r="AC272" s="36">
        <f>(AB272/12*2*$E272*$G272*$I272*$L272)+(AB272/12*10*$F272*$G272*$I272*$L272)</f>
        <v>0</v>
      </c>
      <c r="AD272" s="37"/>
      <c r="AE272" s="36">
        <f>(AD272/12*2*$E272*$G272*$I272*$L272*AE$9)+(AD272/12*10*$F272*$G272*$I272*$L272*AE$9)</f>
        <v>0</v>
      </c>
      <c r="AF272" s="36"/>
      <c r="AG272" s="36">
        <f>(AF272/12*2*$E272*$G272*$I272*$M272*AG$9)+(AF272/12*10*$F272*$G272*$I272*$M272*AG$9)</f>
        <v>0</v>
      </c>
      <c r="AH272" s="37"/>
      <c r="AI272" s="36">
        <f>(AH272/12*2*$E272*$G272*$I272*$M272*$AI$9)+(AH272/12*10*$F272*$G272*$I272*$M272*$AI$9)</f>
        <v>0</v>
      </c>
      <c r="AJ272" s="36">
        <v>0</v>
      </c>
      <c r="AK272" s="36">
        <v>0</v>
      </c>
      <c r="AL272" s="37"/>
      <c r="AM272" s="36">
        <f>SUM(AL272/12*2*$E272*$G272*$I272*$L272*AM$9)+(AL272/12*10*$F272*$G272*$I272*$L272*AM$9)</f>
        <v>0</v>
      </c>
      <c r="AN272" s="37"/>
      <c r="AO272" s="36">
        <f>SUM(AN272/12*2*$E272*$G272*$I272*$L272*$AE$9)+(AN272/12*10*$F272*$G272*$I272*$L272*$AE$9)</f>
        <v>0</v>
      </c>
      <c r="AP272" s="37"/>
      <c r="AQ272" s="36"/>
      <c r="AR272" s="37"/>
      <c r="AS272" s="36">
        <f>SUM(AR272/12*2*$E272*$G272*$I272*$L272*AS$9)+(AR272/12*10*$F272*$G272*$I272*$L272*AS$9)</f>
        <v>0</v>
      </c>
      <c r="AT272" s="37"/>
      <c r="AU272" s="36">
        <f>SUM(AT272/12*2*$E272*$G272*$I272*$L272*$AI$9)+(AT272/12*10*$F272*$G272*$I272*$L272*$AI$9)</f>
        <v>0</v>
      </c>
      <c r="AV272" s="37"/>
      <c r="AW272" s="36">
        <f>SUM(AV272/12*2*$E272*$G272*$I272*$L272*AW$9)+(AV272/12*10*$F272*$G272*$I272*$L272*AW$9)</f>
        <v>0</v>
      </c>
      <c r="AX272" s="37"/>
      <c r="AY272" s="36">
        <f>SUM(AX272/12*2*$E272*$G272*$I272*$L272*AY$9)+(AX272/12*10*$F272*$G272*$I272*$L272*AY$9)</f>
        <v>0</v>
      </c>
      <c r="AZ272" s="37"/>
      <c r="BA272" s="36">
        <f>SUM(AZ272/12*2*$E272*$G272*$I272*$L272*BA$9)+(AZ272/12*10*$F272*$G272*$I272*$L272*BA$9)</f>
        <v>0</v>
      </c>
      <c r="BB272" s="37"/>
      <c r="BC272" s="36">
        <f>SUM(BB272/12*2*$E272*$G272*$I272*$L272*BC$9)+(BB272/12*10*$F272*$G272*$I272*$L272*BC$9)</f>
        <v>0</v>
      </c>
      <c r="BD272" s="37"/>
      <c r="BE272" s="36">
        <f>SUM(BD272/12*2*$E272*$G272*$I272*$L272*BE$9)+(BD272/12*10*$F272*$G272*$I272*$L272*BE$9)</f>
        <v>0</v>
      </c>
      <c r="BF272" s="37"/>
      <c r="BG272" s="39">
        <f>(BF272/12*2*$E272*$G272*$I272*$M272*BG$9)+(BF272/12*10*$F272*$G272*$I272*$M272*BG$9)</f>
        <v>0</v>
      </c>
      <c r="BH272" s="60"/>
      <c r="BI272" s="36">
        <f>(BH272/12*2*$E272*$G272*$I272*$M272*BI$9)+(BH272/12*10*$F272*$G272*$I272*$M272*BI$9)</f>
        <v>0</v>
      </c>
      <c r="BJ272" s="40"/>
      <c r="BK272" s="36">
        <f>(BJ272/12*2*$E272*$G272*$I272*$M272*BK$9)+(BJ272/12*10*$F272*$G272*$I272*$M272*BK$9)</f>
        <v>0</v>
      </c>
      <c r="BL272" s="36"/>
      <c r="BM272" s="36">
        <f>(BL272/12*2*$E272*$G272*$I272*$M272*BM$9)+(BL272/12*10*$F272*$G272*$I272*$M272*BM$9)</f>
        <v>0</v>
      </c>
      <c r="BN272" s="37"/>
      <c r="BO272" s="36">
        <f>(BN272/12*10*$F272*$G272*$I272*$M272*BO$9)</f>
        <v>0</v>
      </c>
      <c r="BP272" s="59"/>
      <c r="BQ272" s="36"/>
      <c r="BR272" s="40"/>
      <c r="BS272" s="36">
        <f>(BR272/12*10*$F272*$G272*$I272*$M272*BS$9)</f>
        <v>0</v>
      </c>
      <c r="BT272" s="37"/>
      <c r="BU272" s="36">
        <f>(BT272/12*2*$E272*$G272*$I272*$M272*BU$9)+(BT272/12*10*$F272*$G272*$I272*$M272*BU$9)</f>
        <v>0</v>
      </c>
      <c r="BV272" s="36"/>
      <c r="BW272" s="36">
        <f>(BV272/12*2*$E272*$G272*$I272*$M272*BW$9)+(BV272/12*10*$F272*$G272*$I272*$M272*BW$9)</f>
        <v>0</v>
      </c>
      <c r="BX272" s="37"/>
      <c r="BY272" s="36">
        <f>(BX272/12*2*$E272*$G272*$I272*$M272*BY$9)+(BX272/12*10*$F272*$G272*$I272*$M272*BY$9)</f>
        <v>0</v>
      </c>
      <c r="BZ272" s="37"/>
      <c r="CA272" s="36">
        <f>(BZ272/12*2*$E272*$G272*$I272*$M272*CA$9)+(BZ272/12*10*$F272*$G272*$I272*$M272*CA$9)</f>
        <v>0</v>
      </c>
      <c r="CB272" s="37"/>
      <c r="CC272" s="36">
        <f>(CB272/12*2*$E272*$G272*$I272*$M272*CC$9)+(CB272/12*10*$F272*$G272*$I272*$M272*CC$9)</f>
        <v>0</v>
      </c>
      <c r="CD272" s="37"/>
      <c r="CE272" s="36">
        <f>(CD272/12*2*$E272*$G272*$I272*$M272*CE$9)+(CD272/12*10*$F272*$G272*$I272*$M272*CE$9)</f>
        <v>0</v>
      </c>
      <c r="CF272" s="37"/>
      <c r="CG272" s="36">
        <f>(CF272/12*2*$E272*$G272*$I272*$N272*CG$9)+(CF272/12*10*$F272*$G272*$I272*$N272*CG$9)</f>
        <v>0</v>
      </c>
      <c r="CH272" s="40"/>
      <c r="CI272" s="36">
        <f>(CH272/12*2*$E272*$G272*$I272*$O272*$CI$9)+(CH272/12*10*$F272*$G272*$I272*$O272*$CI$9)</f>
        <v>0</v>
      </c>
      <c r="CJ272" s="36"/>
      <c r="CK272" s="41">
        <f>(CJ272/12*2*$E272*$G272*$I272*$M272)+(CJ272/12*10*$F272*$G272*$I272*$M272)</f>
        <v>0</v>
      </c>
      <c r="CL272" s="41"/>
      <c r="CM272" s="41"/>
      <c r="CN272" s="41"/>
      <c r="CO272" s="41"/>
      <c r="CP272" s="42">
        <f t="shared" si="307"/>
        <v>0</v>
      </c>
      <c r="CQ272" s="42">
        <f t="shared" si="307"/>
        <v>0</v>
      </c>
    </row>
    <row r="273" spans="1:95" ht="18.75" hidden="1" customHeight="1" x14ac:dyDescent="0.25">
      <c r="A273" s="124">
        <v>37</v>
      </c>
      <c r="B273" s="124"/>
      <c r="C273" s="149" t="s">
        <v>659</v>
      </c>
      <c r="D273" s="141" t="s">
        <v>660</v>
      </c>
      <c r="E273" s="110">
        <v>16026</v>
      </c>
      <c r="F273" s="134">
        <v>16828</v>
      </c>
      <c r="G273" s="150">
        <v>1.72</v>
      </c>
      <c r="H273" s="136"/>
      <c r="I273" s="128"/>
      <c r="J273" s="129"/>
      <c r="K273" s="29"/>
      <c r="L273" s="97">
        <v>1.4</v>
      </c>
      <c r="M273" s="97">
        <v>1.68</v>
      </c>
      <c r="N273" s="97">
        <v>2.23</v>
      </c>
      <c r="O273" s="97">
        <v>2.57</v>
      </c>
      <c r="P273" s="139">
        <f>SUM(P274:P289)</f>
        <v>25</v>
      </c>
      <c r="Q273" s="139">
        <f t="shared" ref="Q273:BH273" si="336">SUM(Q274:Q289)</f>
        <v>1311172.94</v>
      </c>
      <c r="R273" s="139">
        <f t="shared" si="336"/>
        <v>0</v>
      </c>
      <c r="S273" s="139">
        <f t="shared" si="336"/>
        <v>0</v>
      </c>
      <c r="T273" s="139">
        <f t="shared" si="336"/>
        <v>0</v>
      </c>
      <c r="U273" s="139">
        <f t="shared" si="336"/>
        <v>0</v>
      </c>
      <c r="V273" s="139">
        <f t="shared" si="336"/>
        <v>0</v>
      </c>
      <c r="W273" s="139">
        <f t="shared" si="336"/>
        <v>0</v>
      </c>
      <c r="X273" s="139">
        <f t="shared" si="336"/>
        <v>0</v>
      </c>
      <c r="Y273" s="139">
        <f t="shared" si="336"/>
        <v>0</v>
      </c>
      <c r="Z273" s="139">
        <f t="shared" si="336"/>
        <v>0</v>
      </c>
      <c r="AA273" s="139">
        <f t="shared" si="336"/>
        <v>0</v>
      </c>
      <c r="AB273" s="139">
        <f t="shared" si="336"/>
        <v>0</v>
      </c>
      <c r="AC273" s="139">
        <f t="shared" si="336"/>
        <v>0</v>
      </c>
      <c r="AD273" s="139">
        <f t="shared" si="336"/>
        <v>0</v>
      </c>
      <c r="AE273" s="139">
        <f t="shared" si="336"/>
        <v>0</v>
      </c>
      <c r="AF273" s="139">
        <f t="shared" si="336"/>
        <v>0</v>
      </c>
      <c r="AG273" s="139">
        <f t="shared" si="336"/>
        <v>0</v>
      </c>
      <c r="AH273" s="139">
        <f t="shared" si="336"/>
        <v>0</v>
      </c>
      <c r="AI273" s="139">
        <f t="shared" si="336"/>
        <v>0</v>
      </c>
      <c r="AJ273" s="139">
        <v>0</v>
      </c>
      <c r="AK273" s="139">
        <v>0</v>
      </c>
      <c r="AL273" s="139">
        <f t="shared" si="336"/>
        <v>0</v>
      </c>
      <c r="AM273" s="139">
        <f t="shared" si="336"/>
        <v>0</v>
      </c>
      <c r="AN273" s="139">
        <f t="shared" si="336"/>
        <v>0</v>
      </c>
      <c r="AO273" s="139">
        <f t="shared" si="336"/>
        <v>0</v>
      </c>
      <c r="AP273" s="139">
        <f t="shared" si="336"/>
        <v>0</v>
      </c>
      <c r="AQ273" s="139">
        <f t="shared" si="336"/>
        <v>0</v>
      </c>
      <c r="AR273" s="139">
        <f t="shared" si="336"/>
        <v>787</v>
      </c>
      <c r="AS273" s="139">
        <f t="shared" si="336"/>
        <v>37168363.899333328</v>
      </c>
      <c r="AT273" s="139">
        <f t="shared" si="336"/>
        <v>0</v>
      </c>
      <c r="AU273" s="139">
        <f t="shared" si="336"/>
        <v>0</v>
      </c>
      <c r="AV273" s="139">
        <f t="shared" si="336"/>
        <v>0</v>
      </c>
      <c r="AW273" s="139">
        <f t="shared" si="336"/>
        <v>0</v>
      </c>
      <c r="AX273" s="139">
        <f t="shared" si="336"/>
        <v>0</v>
      </c>
      <c r="AY273" s="139">
        <f t="shared" si="336"/>
        <v>0</v>
      </c>
      <c r="AZ273" s="139">
        <f t="shared" si="336"/>
        <v>0</v>
      </c>
      <c r="BA273" s="139">
        <f>SUM(BA274:BA289)</f>
        <v>0</v>
      </c>
      <c r="BB273" s="139">
        <f t="shared" si="336"/>
        <v>0</v>
      </c>
      <c r="BC273" s="139">
        <f>SUM(BC274:BC289)</f>
        <v>0</v>
      </c>
      <c r="BD273" s="139">
        <f t="shared" si="336"/>
        <v>0</v>
      </c>
      <c r="BE273" s="139">
        <f t="shared" si="336"/>
        <v>0</v>
      </c>
      <c r="BF273" s="139">
        <f t="shared" si="336"/>
        <v>0</v>
      </c>
      <c r="BG273" s="139">
        <f t="shared" si="336"/>
        <v>0</v>
      </c>
      <c r="BH273" s="139">
        <f t="shared" si="336"/>
        <v>0</v>
      </c>
      <c r="BI273" s="139">
        <f>SUM(BI274:BI289)</f>
        <v>0</v>
      </c>
      <c r="BJ273" s="139">
        <f t="shared" ref="BJ273:BT273" si="337">SUM(BJ274:BJ289)</f>
        <v>0</v>
      </c>
      <c r="BK273" s="139">
        <f t="shared" si="337"/>
        <v>0</v>
      </c>
      <c r="BL273" s="139">
        <f t="shared" si="337"/>
        <v>0</v>
      </c>
      <c r="BM273" s="139">
        <f t="shared" si="337"/>
        <v>0</v>
      </c>
      <c r="BN273" s="139">
        <f t="shared" si="337"/>
        <v>0</v>
      </c>
      <c r="BO273" s="139">
        <f>SUM(BO274:BO289)</f>
        <v>0</v>
      </c>
      <c r="BP273" s="139">
        <f t="shared" si="337"/>
        <v>0</v>
      </c>
      <c r="BQ273" s="139">
        <f>SUM(BQ274:BQ289)</f>
        <v>0</v>
      </c>
      <c r="BR273" s="139">
        <f t="shared" si="337"/>
        <v>0</v>
      </c>
      <c r="BS273" s="139">
        <f>SUM(BS274:BS289)</f>
        <v>0</v>
      </c>
      <c r="BT273" s="139">
        <f t="shared" si="337"/>
        <v>0</v>
      </c>
      <c r="BU273" s="139">
        <f>SUM(BU274:BU289)</f>
        <v>0</v>
      </c>
      <c r="BV273" s="139">
        <f t="shared" ref="BV273:CQ273" si="338">SUM(BV274:BV289)</f>
        <v>0</v>
      </c>
      <c r="BW273" s="139">
        <f t="shared" si="338"/>
        <v>0</v>
      </c>
      <c r="BX273" s="139">
        <f t="shared" si="338"/>
        <v>0</v>
      </c>
      <c r="BY273" s="139">
        <f t="shared" si="338"/>
        <v>0</v>
      </c>
      <c r="BZ273" s="139">
        <f t="shared" si="338"/>
        <v>0</v>
      </c>
      <c r="CA273" s="139">
        <f t="shared" si="338"/>
        <v>0</v>
      </c>
      <c r="CB273" s="139">
        <f t="shared" si="338"/>
        <v>0</v>
      </c>
      <c r="CC273" s="139">
        <f t="shared" si="338"/>
        <v>0</v>
      </c>
      <c r="CD273" s="139">
        <f t="shared" si="338"/>
        <v>0</v>
      </c>
      <c r="CE273" s="139">
        <f t="shared" si="338"/>
        <v>0</v>
      </c>
      <c r="CF273" s="139">
        <f t="shared" si="338"/>
        <v>0</v>
      </c>
      <c r="CG273" s="139">
        <f t="shared" si="338"/>
        <v>0</v>
      </c>
      <c r="CH273" s="139">
        <f t="shared" si="338"/>
        <v>0</v>
      </c>
      <c r="CI273" s="139">
        <f t="shared" si="338"/>
        <v>0</v>
      </c>
      <c r="CJ273" s="139">
        <f t="shared" si="338"/>
        <v>0</v>
      </c>
      <c r="CK273" s="139">
        <f t="shared" si="338"/>
        <v>0</v>
      </c>
      <c r="CL273" s="139">
        <f t="shared" si="338"/>
        <v>0</v>
      </c>
      <c r="CM273" s="139">
        <f t="shared" si="338"/>
        <v>0</v>
      </c>
      <c r="CN273" s="139">
        <f t="shared" si="338"/>
        <v>0</v>
      </c>
      <c r="CO273" s="139">
        <f t="shared" si="338"/>
        <v>0</v>
      </c>
      <c r="CP273" s="139">
        <f t="shared" si="338"/>
        <v>812</v>
      </c>
      <c r="CQ273" s="139">
        <f t="shared" si="338"/>
        <v>38479536.839333326</v>
      </c>
    </row>
    <row r="274" spans="1:95" s="3" customFormat="1" ht="45" hidden="1" customHeight="1" x14ac:dyDescent="0.25">
      <c r="A274" s="54"/>
      <c r="B274" s="54">
        <v>192</v>
      </c>
      <c r="C274" s="55" t="s">
        <v>661</v>
      </c>
      <c r="D274" s="121" t="s">
        <v>662</v>
      </c>
      <c r="E274" s="110">
        <v>16026</v>
      </c>
      <c r="F274" s="110">
        <v>16828</v>
      </c>
      <c r="G274" s="76">
        <v>1.98</v>
      </c>
      <c r="H274" s="34"/>
      <c r="I274" s="35">
        <v>1</v>
      </c>
      <c r="J274" s="111"/>
      <c r="K274" s="35"/>
      <c r="L274" s="97">
        <v>1.4</v>
      </c>
      <c r="M274" s="97">
        <v>1.68</v>
      </c>
      <c r="N274" s="97">
        <v>2.23</v>
      </c>
      <c r="O274" s="97">
        <v>2.57</v>
      </c>
      <c r="P274" s="36">
        <v>5</v>
      </c>
      <c r="Q274" s="36">
        <f>SUM(P274/12*2*$E274*$G274*$I274*$L274*$Q$9)+(P274/12*10*$F274*$G274*$I274*$L274*$Q$9)</f>
        <v>231383.46</v>
      </c>
      <c r="R274" s="37"/>
      <c r="S274" s="36">
        <f t="shared" ref="S274:S289" si="339">SUM(R274/12*2*$E274*$G274*$I274*$L274*S$9)+(R274/12*10*$F274*$G274*$I274*$L274*S$9)</f>
        <v>0</v>
      </c>
      <c r="T274" s="36"/>
      <c r="U274" s="36">
        <f t="shared" ref="U274:U289" si="340">SUM(T274/12*2*$E274*$G274*$I274*$L274*U$9)+(T274/12*10*$F274*$G274*$I274*$L274*U$9)</f>
        <v>0</v>
      </c>
      <c r="V274" s="37"/>
      <c r="W274" s="36">
        <f t="shared" ref="W274:W289" si="341">SUM(V274/12*2*$E274*$G274*$I274*$L274*$W$9)+(V274/12*10*$F274*$G274*$I274*$L274*$W$9)</f>
        <v>0</v>
      </c>
      <c r="X274" s="37"/>
      <c r="Y274" s="38">
        <f t="shared" ref="Y274:Y289" si="342">SUM(X274/12*2*$E274*$G274*$I274*$L274*Y$9)+(X274/12*10*$F274*$G274*$I274*$L274*Y$9)</f>
        <v>0</v>
      </c>
      <c r="Z274" s="37"/>
      <c r="AA274" s="36"/>
      <c r="AB274" s="37"/>
      <c r="AC274" s="36">
        <f t="shared" ref="AC274:AC289" si="343">(AB274/12*2*$E274*$G274*$I274*$L274)+(AB274/12*10*$F274*$G274*$I274*$L274)</f>
        <v>0</v>
      </c>
      <c r="AD274" s="37">
        <v>0</v>
      </c>
      <c r="AE274" s="36">
        <f t="shared" ref="AE274:AE289" si="344">(AD274/12*2*$E274*$G274*$I274*$L274*AE$9)+(AD274/12*10*$F274*$G274*$I274*$L274*AE$9)</f>
        <v>0</v>
      </c>
      <c r="AF274" s="37">
        <v>0</v>
      </c>
      <c r="AG274" s="36">
        <f t="shared" ref="AG274:AG289" si="345">(AF274/12*2*$E274*$G274*$I274*$M274*AG$9)+(AF274/12*10*$F274*$G274*$I274*$M274*AG$9)</f>
        <v>0</v>
      </c>
      <c r="AH274" s="37"/>
      <c r="AI274" s="36">
        <f t="shared" ref="AI274:AI289" si="346">(AH274/12*2*$E274*$G274*$I274*$M274*$AI$9)+(AH274/12*10*$F274*$G274*$I274*$M274*$AI$9)</f>
        <v>0</v>
      </c>
      <c r="AJ274" s="36">
        <v>0</v>
      </c>
      <c r="AK274" s="36">
        <v>0</v>
      </c>
      <c r="AL274" s="37"/>
      <c r="AM274" s="36">
        <f t="shared" ref="AM274:AM289" si="347">SUM(AL274/12*2*$E274*$G274*$I274*$L274*AM$9)+(AL274/12*10*$F274*$G274*$I274*$L274*AM$9)</f>
        <v>0</v>
      </c>
      <c r="AN274" s="37"/>
      <c r="AO274" s="36">
        <f t="shared" ref="AO274:AO289" si="348">SUM(AN274/12*2*$E274*$G274*$I274*$L274*$AE$9)+(AN274/12*10*$F274*$G274*$I274*$L274*$AE$9)</f>
        <v>0</v>
      </c>
      <c r="AP274" s="37"/>
      <c r="AQ274" s="36"/>
      <c r="AR274" s="36">
        <v>5</v>
      </c>
      <c r="AS274" s="36">
        <f t="shared" ref="AS274:AS289" si="349">SUM(AR274/12*2*$E274*$G274*$I274*$L274*AS$9)+(AR274/12*10*$F274*$G274*$I274*$L274*AS$9)</f>
        <v>231383.46</v>
      </c>
      <c r="AT274" s="37"/>
      <c r="AU274" s="36">
        <f t="shared" ref="AU274:AU289" si="350">SUM(AT274/12*2*$E274*$G274*$I274*$L274*$AI$9)+(AT274/12*10*$F274*$G274*$I274*$L274*$AI$9)</f>
        <v>0</v>
      </c>
      <c r="AV274" s="37"/>
      <c r="AW274" s="36">
        <f t="shared" ref="AW274:AW289" si="351">SUM(AV274/12*2*$E274*$G274*$I274*$L274*AW$9)+(AV274/12*10*$F274*$G274*$I274*$L274*AW$9)</f>
        <v>0</v>
      </c>
      <c r="AX274" s="37"/>
      <c r="AY274" s="36">
        <f t="shared" ref="AY274:AY289" si="352">SUM(AX274/12*2*$E274*$G274*$I274*$L274*AY$9)+(AX274/12*10*$F274*$G274*$I274*$L274*AY$9)</f>
        <v>0</v>
      </c>
      <c r="AZ274" s="37"/>
      <c r="BA274" s="36">
        <f t="shared" ref="BA274:BA289" si="353">SUM(AZ274/12*2*$E274*$G274*$I274*$L274*BA$9)+(AZ274/12*10*$F274*$G274*$I274*$L274*BA$9)</f>
        <v>0</v>
      </c>
      <c r="BB274" s="37"/>
      <c r="BC274" s="36">
        <f t="shared" ref="BC274:BC289" si="354">SUM(BB274/12*2*$E274*$G274*$I274*$L274*BC$9)+(BB274/12*10*$F274*$G274*$I274*$L274*BC$9)</f>
        <v>0</v>
      </c>
      <c r="BD274" s="37"/>
      <c r="BE274" s="36">
        <f t="shared" ref="BE274:BE289" si="355">SUM(BD274/12*2*$E274*$G274*$I274*$L274*BE$9)+(BD274/12*10*$F274*$G274*$I274*$L274*BE$9)</f>
        <v>0</v>
      </c>
      <c r="BF274" s="37"/>
      <c r="BG274" s="39">
        <f t="shared" ref="BG274:BG288" si="356">(BF274/12*2*$E274*$G274*$I274*$M274*BG$9)+(BF274/12*10*$F274*$G274*$I274*$M274*BG$9)</f>
        <v>0</v>
      </c>
      <c r="BH274" s="60"/>
      <c r="BI274" s="36">
        <f t="shared" ref="BI274:BI288" si="357">(BH274/12*2*$E274*$G274*$I274*$M274*BI$9)+(BH274/12*10*$F274*$G274*$I274*$M274*BI$9)</f>
        <v>0</v>
      </c>
      <c r="BJ274" s="37"/>
      <c r="BK274" s="36">
        <f t="shared" ref="BK274:BK288" si="358">(BJ274/12*2*$E274*$G274*$I274*$M274*BK$9)+(BJ274/12*10*$F274*$G274*$I274*$M274*BK$9)</f>
        <v>0</v>
      </c>
      <c r="BL274" s="37"/>
      <c r="BM274" s="36">
        <f t="shared" ref="BM274:BM288" si="359">(BL274/12*2*$E274*$G274*$I274*$M274*BM$9)+(BL274/12*10*$F274*$G274*$I274*$M274*BM$9)</f>
        <v>0</v>
      </c>
      <c r="BN274" s="37"/>
      <c r="BO274" s="36">
        <f t="shared" ref="BO274:BO289" si="360">(BN274/12*10*$F274*$G274*$I274*$M274*BO$9)</f>
        <v>0</v>
      </c>
      <c r="BP274" s="39"/>
      <c r="BQ274" s="36"/>
      <c r="BR274" s="37"/>
      <c r="BS274" s="36">
        <f t="shared" ref="BS274:BS289" si="361">(BR274/12*10*$F274*$G274*$I274*$M274*BS$9)</f>
        <v>0</v>
      </c>
      <c r="BT274" s="37"/>
      <c r="BU274" s="36">
        <f t="shared" ref="BU274:BU289" si="362">(BT274/12*2*$E274*$G274*$I274*$M274*BU$9)+(BT274/12*10*$F274*$G274*$I274*$M274*BU$9)</f>
        <v>0</v>
      </c>
      <c r="BV274" s="36"/>
      <c r="BW274" s="36">
        <f t="shared" ref="BW274:BW289" si="363">(BV274/12*2*$E274*$G274*$I274*$M274*BW$9)+(BV274/12*10*$F274*$G274*$I274*$M274*BW$9)</f>
        <v>0</v>
      </c>
      <c r="BX274" s="37"/>
      <c r="BY274" s="36">
        <f t="shared" ref="BY274:BY289" si="364">(BX274/12*2*$E274*$G274*$I274*$M274*BY$9)+(BX274/12*10*$F274*$G274*$I274*$M274*BY$9)</f>
        <v>0</v>
      </c>
      <c r="BZ274" s="37"/>
      <c r="CA274" s="36">
        <f t="shared" ref="CA274:CA289" si="365">(BZ274/12*2*$E274*$G274*$I274*$M274*CA$9)+(BZ274/12*10*$F274*$G274*$I274*$M274*CA$9)</f>
        <v>0</v>
      </c>
      <c r="CB274" s="37"/>
      <c r="CC274" s="36">
        <f t="shared" ref="CC274:CC289" si="366">(CB274/12*2*$E274*$G274*$I274*$M274*CC$9)+(CB274/12*10*$F274*$G274*$I274*$M274*CC$9)</f>
        <v>0</v>
      </c>
      <c r="CD274" s="37"/>
      <c r="CE274" s="36">
        <f t="shared" ref="CE274:CE289" si="367">(CD274/12*2*$E274*$G274*$I274*$M274*CE$9)+(CD274/12*10*$F274*$G274*$I274*$M274*CE$9)</f>
        <v>0</v>
      </c>
      <c r="CF274" s="37"/>
      <c r="CG274" s="36">
        <f t="shared" ref="CG274:CG289" si="368">(CF274/12*2*$E274*$G274*$I274*$N274*CG$9)+(CF274/12*10*$F274*$G274*$I274*$N274*CG$9)</f>
        <v>0</v>
      </c>
      <c r="CH274" s="37"/>
      <c r="CI274" s="36">
        <f t="shared" ref="CI274:CI289" si="369">(CH274/12*2*$E274*$G274*$I274*$O274*$CI$9)+(CH274/12*10*$F274*$G274*$I274*$O274*$CI$9)</f>
        <v>0</v>
      </c>
      <c r="CJ274" s="36"/>
      <c r="CK274" s="41">
        <f t="shared" ref="CK274:CK289" si="370">(CJ274/12*2*$E274*$G274*$I274*$M274)+(CJ274/12*10*$F274*$G274*$I274*$M274)</f>
        <v>0</v>
      </c>
      <c r="CL274" s="41"/>
      <c r="CM274" s="41"/>
      <c r="CN274" s="41"/>
      <c r="CO274" s="41"/>
      <c r="CP274" s="42">
        <f t="shared" ref="CP274:CQ289" si="371">SUM(R274+P274+T274+V274+AB274+Z274+X274+AF274+AD274+AH274+AJ274+BF274+BJ274+AL274+AT274+AV274+BT274+BV274+BR274+BX274+BZ274+BN274+AN274+AP274+AR274+BH274+BL274+AX274+AZ274+BB274+BD274+BP274+CB274+CD274+CF274+CH274+CJ274+CL274)</f>
        <v>10</v>
      </c>
      <c r="CQ274" s="42">
        <f t="shared" si="371"/>
        <v>462766.92</v>
      </c>
    </row>
    <row r="275" spans="1:95" s="3" customFormat="1" ht="45" hidden="1" customHeight="1" x14ac:dyDescent="0.25">
      <c r="A275" s="54"/>
      <c r="B275" s="54">
        <v>193</v>
      </c>
      <c r="C275" s="55" t="s">
        <v>663</v>
      </c>
      <c r="D275" s="121" t="s">
        <v>664</v>
      </c>
      <c r="E275" s="110">
        <v>16026</v>
      </c>
      <c r="F275" s="110">
        <v>16828</v>
      </c>
      <c r="G275" s="76">
        <v>2.31</v>
      </c>
      <c r="H275" s="34"/>
      <c r="I275" s="35">
        <v>1</v>
      </c>
      <c r="J275" s="111"/>
      <c r="K275" s="35"/>
      <c r="L275" s="97">
        <v>1.4</v>
      </c>
      <c r="M275" s="97">
        <v>1.68</v>
      </c>
      <c r="N275" s="97">
        <v>2.23</v>
      </c>
      <c r="O275" s="97">
        <v>2.57</v>
      </c>
      <c r="P275" s="36">
        <v>20</v>
      </c>
      <c r="Q275" s="36">
        <f t="shared" ref="Q275:Q289" si="372">SUM(P275/12*2*$E275*$G275*$I275*$L275*$Q$9)+(P275/12*10*$F275*$G275*$I275*$L275*$Q$9)</f>
        <v>1079789.48</v>
      </c>
      <c r="R275" s="37"/>
      <c r="S275" s="36">
        <f t="shared" si="339"/>
        <v>0</v>
      </c>
      <c r="T275" s="36"/>
      <c r="U275" s="36">
        <f t="shared" si="340"/>
        <v>0</v>
      </c>
      <c r="V275" s="37"/>
      <c r="W275" s="36">
        <f t="shared" si="341"/>
        <v>0</v>
      </c>
      <c r="X275" s="37"/>
      <c r="Y275" s="38">
        <f t="shared" si="342"/>
        <v>0</v>
      </c>
      <c r="Z275" s="37"/>
      <c r="AA275" s="36"/>
      <c r="AB275" s="37">
        <v>0</v>
      </c>
      <c r="AC275" s="36">
        <f t="shared" si="343"/>
        <v>0</v>
      </c>
      <c r="AD275" s="37">
        <v>0</v>
      </c>
      <c r="AE275" s="36">
        <f t="shared" si="344"/>
        <v>0</v>
      </c>
      <c r="AF275" s="37">
        <v>0</v>
      </c>
      <c r="AG275" s="36">
        <f t="shared" si="345"/>
        <v>0</v>
      </c>
      <c r="AH275" s="37"/>
      <c r="AI275" s="36">
        <f t="shared" si="346"/>
        <v>0</v>
      </c>
      <c r="AJ275" s="36">
        <v>0</v>
      </c>
      <c r="AK275" s="36">
        <v>0</v>
      </c>
      <c r="AL275" s="37"/>
      <c r="AM275" s="36">
        <f t="shared" si="347"/>
        <v>0</v>
      </c>
      <c r="AN275" s="37"/>
      <c r="AO275" s="36">
        <f t="shared" si="348"/>
        <v>0</v>
      </c>
      <c r="AP275" s="37"/>
      <c r="AQ275" s="36"/>
      <c r="AR275" s="36">
        <v>4</v>
      </c>
      <c r="AS275" s="36">
        <f t="shared" si="349"/>
        <v>215957.89599999995</v>
      </c>
      <c r="AT275" s="37"/>
      <c r="AU275" s="36">
        <f t="shared" si="350"/>
        <v>0</v>
      </c>
      <c r="AV275" s="37"/>
      <c r="AW275" s="36">
        <f t="shared" si="351"/>
        <v>0</v>
      </c>
      <c r="AX275" s="37"/>
      <c r="AY275" s="36">
        <f t="shared" si="352"/>
        <v>0</v>
      </c>
      <c r="AZ275" s="37"/>
      <c r="BA275" s="36">
        <f t="shared" si="353"/>
        <v>0</v>
      </c>
      <c r="BB275" s="37"/>
      <c r="BC275" s="36">
        <f t="shared" si="354"/>
        <v>0</v>
      </c>
      <c r="BD275" s="37"/>
      <c r="BE275" s="36">
        <f t="shared" si="355"/>
        <v>0</v>
      </c>
      <c r="BF275" s="37"/>
      <c r="BG275" s="39">
        <f t="shared" si="356"/>
        <v>0</v>
      </c>
      <c r="BH275" s="60"/>
      <c r="BI275" s="36">
        <f t="shared" si="357"/>
        <v>0</v>
      </c>
      <c r="BJ275" s="37"/>
      <c r="BK275" s="36">
        <f t="shared" si="358"/>
        <v>0</v>
      </c>
      <c r="BL275" s="37"/>
      <c r="BM275" s="36">
        <f t="shared" si="359"/>
        <v>0</v>
      </c>
      <c r="BN275" s="37"/>
      <c r="BO275" s="36">
        <f t="shared" si="360"/>
        <v>0</v>
      </c>
      <c r="BP275" s="39"/>
      <c r="BQ275" s="36"/>
      <c r="BR275" s="37"/>
      <c r="BS275" s="36">
        <f t="shared" si="361"/>
        <v>0</v>
      </c>
      <c r="BT275" s="37"/>
      <c r="BU275" s="36">
        <f t="shared" si="362"/>
        <v>0</v>
      </c>
      <c r="BV275" s="36"/>
      <c r="BW275" s="36">
        <f t="shared" si="363"/>
        <v>0</v>
      </c>
      <c r="BX275" s="37"/>
      <c r="BY275" s="36">
        <f t="shared" si="364"/>
        <v>0</v>
      </c>
      <c r="BZ275" s="37"/>
      <c r="CA275" s="36">
        <f t="shared" si="365"/>
        <v>0</v>
      </c>
      <c r="CB275" s="37"/>
      <c r="CC275" s="36">
        <f t="shared" si="366"/>
        <v>0</v>
      </c>
      <c r="CD275" s="37"/>
      <c r="CE275" s="36">
        <f t="shared" si="367"/>
        <v>0</v>
      </c>
      <c r="CF275" s="37"/>
      <c r="CG275" s="36">
        <f t="shared" si="368"/>
        <v>0</v>
      </c>
      <c r="CH275" s="37"/>
      <c r="CI275" s="36">
        <f t="shared" si="369"/>
        <v>0</v>
      </c>
      <c r="CJ275" s="36"/>
      <c r="CK275" s="41">
        <f t="shared" si="370"/>
        <v>0</v>
      </c>
      <c r="CL275" s="41"/>
      <c r="CM275" s="41"/>
      <c r="CN275" s="41"/>
      <c r="CO275" s="41"/>
      <c r="CP275" s="42">
        <f t="shared" si="371"/>
        <v>24</v>
      </c>
      <c r="CQ275" s="42">
        <f t="shared" si="371"/>
        <v>1295747.3759999999</v>
      </c>
    </row>
    <row r="276" spans="1:95" s="3" customFormat="1" ht="60" hidden="1" customHeight="1" x14ac:dyDescent="0.25">
      <c r="A276" s="54"/>
      <c r="B276" s="54">
        <v>194</v>
      </c>
      <c r="C276" s="55" t="s">
        <v>665</v>
      </c>
      <c r="D276" s="121" t="s">
        <v>666</v>
      </c>
      <c r="E276" s="110">
        <v>16026</v>
      </c>
      <c r="F276" s="110">
        <v>16828</v>
      </c>
      <c r="G276" s="33">
        <v>1.52</v>
      </c>
      <c r="H276" s="34"/>
      <c r="I276" s="35">
        <v>1</v>
      </c>
      <c r="J276" s="111"/>
      <c r="K276" s="35"/>
      <c r="L276" s="97">
        <v>1.4</v>
      </c>
      <c r="M276" s="97">
        <v>1.68</v>
      </c>
      <c r="N276" s="97">
        <v>2.23</v>
      </c>
      <c r="O276" s="97">
        <v>2.57</v>
      </c>
      <c r="P276" s="36"/>
      <c r="Q276" s="36">
        <f t="shared" si="372"/>
        <v>0</v>
      </c>
      <c r="R276" s="37"/>
      <c r="S276" s="36">
        <f t="shared" si="339"/>
        <v>0</v>
      </c>
      <c r="T276" s="36"/>
      <c r="U276" s="36">
        <f t="shared" si="340"/>
        <v>0</v>
      </c>
      <c r="V276" s="37"/>
      <c r="W276" s="36">
        <f t="shared" si="341"/>
        <v>0</v>
      </c>
      <c r="X276" s="37"/>
      <c r="Y276" s="38">
        <f t="shared" si="342"/>
        <v>0</v>
      </c>
      <c r="Z276" s="37"/>
      <c r="AA276" s="36"/>
      <c r="AB276" s="37">
        <v>0</v>
      </c>
      <c r="AC276" s="36">
        <f t="shared" si="343"/>
        <v>0</v>
      </c>
      <c r="AD276" s="37">
        <v>0</v>
      </c>
      <c r="AE276" s="36">
        <f t="shared" si="344"/>
        <v>0</v>
      </c>
      <c r="AF276" s="37">
        <v>0</v>
      </c>
      <c r="AG276" s="36">
        <f t="shared" si="345"/>
        <v>0</v>
      </c>
      <c r="AH276" s="37"/>
      <c r="AI276" s="36">
        <f t="shared" si="346"/>
        <v>0</v>
      </c>
      <c r="AJ276" s="36">
        <v>0</v>
      </c>
      <c r="AK276" s="36">
        <v>0</v>
      </c>
      <c r="AL276" s="37"/>
      <c r="AM276" s="36">
        <f t="shared" si="347"/>
        <v>0</v>
      </c>
      <c r="AN276" s="37"/>
      <c r="AO276" s="36">
        <f t="shared" si="348"/>
        <v>0</v>
      </c>
      <c r="AP276" s="37"/>
      <c r="AQ276" s="36"/>
      <c r="AR276" s="36">
        <v>30</v>
      </c>
      <c r="AS276" s="36">
        <f t="shared" si="349"/>
        <v>1065766.24</v>
      </c>
      <c r="AT276" s="37"/>
      <c r="AU276" s="36">
        <f t="shared" si="350"/>
        <v>0</v>
      </c>
      <c r="AV276" s="37"/>
      <c r="AW276" s="36">
        <f t="shared" si="351"/>
        <v>0</v>
      </c>
      <c r="AX276" s="37"/>
      <c r="AY276" s="36">
        <f t="shared" si="352"/>
        <v>0</v>
      </c>
      <c r="AZ276" s="37"/>
      <c r="BA276" s="36">
        <f t="shared" si="353"/>
        <v>0</v>
      </c>
      <c r="BB276" s="37"/>
      <c r="BC276" s="36">
        <f t="shared" si="354"/>
        <v>0</v>
      </c>
      <c r="BD276" s="37"/>
      <c r="BE276" s="36">
        <f t="shared" si="355"/>
        <v>0</v>
      </c>
      <c r="BF276" s="37"/>
      <c r="BG276" s="39">
        <f t="shared" si="356"/>
        <v>0</v>
      </c>
      <c r="BH276" s="60"/>
      <c r="BI276" s="36">
        <f t="shared" si="357"/>
        <v>0</v>
      </c>
      <c r="BJ276" s="37"/>
      <c r="BK276" s="36">
        <f t="shared" si="358"/>
        <v>0</v>
      </c>
      <c r="BL276" s="37"/>
      <c r="BM276" s="36">
        <f t="shared" si="359"/>
        <v>0</v>
      </c>
      <c r="BN276" s="37"/>
      <c r="BO276" s="36">
        <f t="shared" si="360"/>
        <v>0</v>
      </c>
      <c r="BP276" s="39"/>
      <c r="BQ276" s="36"/>
      <c r="BR276" s="37"/>
      <c r="BS276" s="36">
        <f t="shared" si="361"/>
        <v>0</v>
      </c>
      <c r="BT276" s="37"/>
      <c r="BU276" s="36">
        <f t="shared" si="362"/>
        <v>0</v>
      </c>
      <c r="BV276" s="36"/>
      <c r="BW276" s="36">
        <f t="shared" si="363"/>
        <v>0</v>
      </c>
      <c r="BX276" s="37"/>
      <c r="BY276" s="36">
        <f t="shared" si="364"/>
        <v>0</v>
      </c>
      <c r="BZ276" s="37"/>
      <c r="CA276" s="36">
        <f t="shared" si="365"/>
        <v>0</v>
      </c>
      <c r="CB276" s="37"/>
      <c r="CC276" s="36">
        <f t="shared" si="366"/>
        <v>0</v>
      </c>
      <c r="CD276" s="37"/>
      <c r="CE276" s="36">
        <f t="shared" si="367"/>
        <v>0</v>
      </c>
      <c r="CF276" s="37"/>
      <c r="CG276" s="36">
        <f t="shared" si="368"/>
        <v>0</v>
      </c>
      <c r="CH276" s="37"/>
      <c r="CI276" s="36">
        <f t="shared" si="369"/>
        <v>0</v>
      </c>
      <c r="CJ276" s="36"/>
      <c r="CK276" s="41">
        <f t="shared" si="370"/>
        <v>0</v>
      </c>
      <c r="CL276" s="41"/>
      <c r="CM276" s="41"/>
      <c r="CN276" s="41"/>
      <c r="CO276" s="41"/>
      <c r="CP276" s="42">
        <f t="shared" si="371"/>
        <v>30</v>
      </c>
      <c r="CQ276" s="42">
        <f t="shared" si="371"/>
        <v>1065766.24</v>
      </c>
    </row>
    <row r="277" spans="1:95" s="3" customFormat="1" ht="60" hidden="1" customHeight="1" x14ac:dyDescent="0.25">
      <c r="A277" s="54"/>
      <c r="B277" s="54">
        <v>195</v>
      </c>
      <c r="C277" s="55" t="s">
        <v>667</v>
      </c>
      <c r="D277" s="121" t="s">
        <v>668</v>
      </c>
      <c r="E277" s="110">
        <v>16026</v>
      </c>
      <c r="F277" s="110">
        <v>16828</v>
      </c>
      <c r="G277" s="33">
        <v>1.82</v>
      </c>
      <c r="H277" s="34"/>
      <c r="I277" s="35">
        <v>1</v>
      </c>
      <c r="J277" s="111"/>
      <c r="K277" s="35"/>
      <c r="L277" s="97">
        <v>1.4</v>
      </c>
      <c r="M277" s="97">
        <v>1.68</v>
      </c>
      <c r="N277" s="97">
        <v>2.23</v>
      </c>
      <c r="O277" s="97">
        <v>2.57</v>
      </c>
      <c r="P277" s="36"/>
      <c r="Q277" s="36">
        <f t="shared" si="372"/>
        <v>0</v>
      </c>
      <c r="R277" s="37"/>
      <c r="S277" s="36">
        <f t="shared" si="339"/>
        <v>0</v>
      </c>
      <c r="T277" s="36"/>
      <c r="U277" s="36">
        <f t="shared" si="340"/>
        <v>0</v>
      </c>
      <c r="V277" s="37"/>
      <c r="W277" s="36">
        <f t="shared" si="341"/>
        <v>0</v>
      </c>
      <c r="X277" s="37"/>
      <c r="Y277" s="38">
        <f t="shared" si="342"/>
        <v>0</v>
      </c>
      <c r="Z277" s="37"/>
      <c r="AA277" s="36"/>
      <c r="AB277" s="37">
        <v>0</v>
      </c>
      <c r="AC277" s="36">
        <f t="shared" si="343"/>
        <v>0</v>
      </c>
      <c r="AD277" s="37">
        <v>0</v>
      </c>
      <c r="AE277" s="36">
        <f t="shared" si="344"/>
        <v>0</v>
      </c>
      <c r="AF277" s="37">
        <v>0</v>
      </c>
      <c r="AG277" s="36">
        <f t="shared" si="345"/>
        <v>0</v>
      </c>
      <c r="AH277" s="37"/>
      <c r="AI277" s="36">
        <f t="shared" si="346"/>
        <v>0</v>
      </c>
      <c r="AJ277" s="36">
        <v>0</v>
      </c>
      <c r="AK277" s="36">
        <v>0</v>
      </c>
      <c r="AL277" s="37"/>
      <c r="AM277" s="36">
        <f t="shared" si="347"/>
        <v>0</v>
      </c>
      <c r="AN277" s="37"/>
      <c r="AO277" s="36">
        <f t="shared" si="348"/>
        <v>0</v>
      </c>
      <c r="AP277" s="37"/>
      <c r="AQ277" s="36"/>
      <c r="AR277" s="36">
        <v>40</v>
      </c>
      <c r="AS277" s="36">
        <f t="shared" si="349"/>
        <v>1701486.4533333334</v>
      </c>
      <c r="AT277" s="37"/>
      <c r="AU277" s="36">
        <f t="shared" si="350"/>
        <v>0</v>
      </c>
      <c r="AV277" s="37"/>
      <c r="AW277" s="36">
        <f t="shared" si="351"/>
        <v>0</v>
      </c>
      <c r="AX277" s="37"/>
      <c r="AY277" s="36">
        <f t="shared" si="352"/>
        <v>0</v>
      </c>
      <c r="AZ277" s="37"/>
      <c r="BA277" s="36">
        <f t="shared" si="353"/>
        <v>0</v>
      </c>
      <c r="BB277" s="37"/>
      <c r="BC277" s="36">
        <f t="shared" si="354"/>
        <v>0</v>
      </c>
      <c r="BD277" s="37"/>
      <c r="BE277" s="36">
        <f t="shared" si="355"/>
        <v>0</v>
      </c>
      <c r="BF277" s="37"/>
      <c r="BG277" s="39">
        <f t="shared" si="356"/>
        <v>0</v>
      </c>
      <c r="BH277" s="60"/>
      <c r="BI277" s="36">
        <f t="shared" si="357"/>
        <v>0</v>
      </c>
      <c r="BJ277" s="37"/>
      <c r="BK277" s="36">
        <f t="shared" si="358"/>
        <v>0</v>
      </c>
      <c r="BL277" s="37"/>
      <c r="BM277" s="36">
        <f t="shared" si="359"/>
        <v>0</v>
      </c>
      <c r="BN277" s="37"/>
      <c r="BO277" s="36">
        <f t="shared" si="360"/>
        <v>0</v>
      </c>
      <c r="BP277" s="39"/>
      <c r="BQ277" s="36"/>
      <c r="BR277" s="37"/>
      <c r="BS277" s="36">
        <f t="shared" si="361"/>
        <v>0</v>
      </c>
      <c r="BT277" s="37"/>
      <c r="BU277" s="36">
        <f t="shared" si="362"/>
        <v>0</v>
      </c>
      <c r="BV277" s="36"/>
      <c r="BW277" s="36">
        <f t="shared" si="363"/>
        <v>0</v>
      </c>
      <c r="BX277" s="37"/>
      <c r="BY277" s="36">
        <f t="shared" si="364"/>
        <v>0</v>
      </c>
      <c r="BZ277" s="37"/>
      <c r="CA277" s="36">
        <f t="shared" si="365"/>
        <v>0</v>
      </c>
      <c r="CB277" s="37"/>
      <c r="CC277" s="36">
        <f t="shared" si="366"/>
        <v>0</v>
      </c>
      <c r="CD277" s="37"/>
      <c r="CE277" s="36">
        <f t="shared" si="367"/>
        <v>0</v>
      </c>
      <c r="CF277" s="37"/>
      <c r="CG277" s="36">
        <f t="shared" si="368"/>
        <v>0</v>
      </c>
      <c r="CH277" s="37"/>
      <c r="CI277" s="36">
        <f t="shared" si="369"/>
        <v>0</v>
      </c>
      <c r="CJ277" s="36"/>
      <c r="CK277" s="41">
        <f t="shared" si="370"/>
        <v>0</v>
      </c>
      <c r="CL277" s="41"/>
      <c r="CM277" s="41"/>
      <c r="CN277" s="41"/>
      <c r="CO277" s="41"/>
      <c r="CP277" s="42">
        <f t="shared" si="371"/>
        <v>40</v>
      </c>
      <c r="CQ277" s="42">
        <f t="shared" si="371"/>
        <v>1701486.4533333334</v>
      </c>
    </row>
    <row r="278" spans="1:95" s="3" customFormat="1" ht="30" hidden="1" customHeight="1" x14ac:dyDescent="0.25">
      <c r="A278" s="54"/>
      <c r="B278" s="54">
        <v>196</v>
      </c>
      <c r="C278" s="55" t="s">
        <v>669</v>
      </c>
      <c r="D278" s="121" t="s">
        <v>670</v>
      </c>
      <c r="E278" s="110">
        <v>16026</v>
      </c>
      <c r="F278" s="110">
        <v>16828</v>
      </c>
      <c r="G278" s="33">
        <v>1.39</v>
      </c>
      <c r="H278" s="34"/>
      <c r="I278" s="35">
        <v>1</v>
      </c>
      <c r="J278" s="111"/>
      <c r="K278" s="35"/>
      <c r="L278" s="97">
        <v>1.4</v>
      </c>
      <c r="M278" s="97">
        <v>1.68</v>
      </c>
      <c r="N278" s="97">
        <v>2.23</v>
      </c>
      <c r="O278" s="97">
        <v>2.57</v>
      </c>
      <c r="P278" s="36"/>
      <c r="Q278" s="36">
        <f t="shared" si="372"/>
        <v>0</v>
      </c>
      <c r="R278" s="37"/>
      <c r="S278" s="36">
        <f t="shared" si="339"/>
        <v>0</v>
      </c>
      <c r="T278" s="36"/>
      <c r="U278" s="36">
        <f t="shared" si="340"/>
        <v>0</v>
      </c>
      <c r="V278" s="37"/>
      <c r="W278" s="36">
        <f t="shared" si="341"/>
        <v>0</v>
      </c>
      <c r="X278" s="37"/>
      <c r="Y278" s="38">
        <f t="shared" si="342"/>
        <v>0</v>
      </c>
      <c r="Z278" s="37"/>
      <c r="AA278" s="36"/>
      <c r="AB278" s="37"/>
      <c r="AC278" s="36">
        <f t="shared" si="343"/>
        <v>0</v>
      </c>
      <c r="AD278" s="37">
        <v>0</v>
      </c>
      <c r="AE278" s="36">
        <f t="shared" si="344"/>
        <v>0</v>
      </c>
      <c r="AF278" s="37">
        <v>0</v>
      </c>
      <c r="AG278" s="36">
        <f t="shared" si="345"/>
        <v>0</v>
      </c>
      <c r="AH278" s="37"/>
      <c r="AI278" s="36">
        <f t="shared" si="346"/>
        <v>0</v>
      </c>
      <c r="AJ278" s="36">
        <v>0</v>
      </c>
      <c r="AK278" s="36">
        <v>0</v>
      </c>
      <c r="AL278" s="37"/>
      <c r="AM278" s="36">
        <f t="shared" si="347"/>
        <v>0</v>
      </c>
      <c r="AN278" s="37"/>
      <c r="AO278" s="36">
        <f t="shared" si="348"/>
        <v>0</v>
      </c>
      <c r="AP278" s="37"/>
      <c r="AQ278" s="36"/>
      <c r="AR278" s="36">
        <v>5</v>
      </c>
      <c r="AS278" s="36">
        <f t="shared" si="349"/>
        <v>162435.86333333331</v>
      </c>
      <c r="AT278" s="37"/>
      <c r="AU278" s="36">
        <f t="shared" si="350"/>
        <v>0</v>
      </c>
      <c r="AV278" s="37"/>
      <c r="AW278" s="36">
        <f t="shared" si="351"/>
        <v>0</v>
      </c>
      <c r="AX278" s="37"/>
      <c r="AY278" s="36">
        <f t="shared" si="352"/>
        <v>0</v>
      </c>
      <c r="AZ278" s="37"/>
      <c r="BA278" s="36">
        <f t="shared" si="353"/>
        <v>0</v>
      </c>
      <c r="BB278" s="37"/>
      <c r="BC278" s="36">
        <f t="shared" si="354"/>
        <v>0</v>
      </c>
      <c r="BD278" s="37"/>
      <c r="BE278" s="36">
        <f t="shared" si="355"/>
        <v>0</v>
      </c>
      <c r="BF278" s="37"/>
      <c r="BG278" s="39">
        <f t="shared" si="356"/>
        <v>0</v>
      </c>
      <c r="BH278" s="60"/>
      <c r="BI278" s="36">
        <f t="shared" si="357"/>
        <v>0</v>
      </c>
      <c r="BJ278" s="37"/>
      <c r="BK278" s="36">
        <f t="shared" si="358"/>
        <v>0</v>
      </c>
      <c r="BL278" s="37"/>
      <c r="BM278" s="36">
        <f t="shared" si="359"/>
        <v>0</v>
      </c>
      <c r="BN278" s="37"/>
      <c r="BO278" s="36">
        <f t="shared" si="360"/>
        <v>0</v>
      </c>
      <c r="BP278" s="39"/>
      <c r="BQ278" s="36"/>
      <c r="BR278" s="37"/>
      <c r="BS278" s="36">
        <f t="shared" si="361"/>
        <v>0</v>
      </c>
      <c r="BT278" s="37"/>
      <c r="BU278" s="36">
        <f t="shared" si="362"/>
        <v>0</v>
      </c>
      <c r="BV278" s="36"/>
      <c r="BW278" s="36">
        <f t="shared" si="363"/>
        <v>0</v>
      </c>
      <c r="BX278" s="37"/>
      <c r="BY278" s="36">
        <f t="shared" si="364"/>
        <v>0</v>
      </c>
      <c r="BZ278" s="37"/>
      <c r="CA278" s="36">
        <f t="shared" si="365"/>
        <v>0</v>
      </c>
      <c r="CB278" s="37"/>
      <c r="CC278" s="36">
        <f t="shared" si="366"/>
        <v>0</v>
      </c>
      <c r="CD278" s="37"/>
      <c r="CE278" s="36">
        <f t="shared" si="367"/>
        <v>0</v>
      </c>
      <c r="CF278" s="37"/>
      <c r="CG278" s="36">
        <f t="shared" si="368"/>
        <v>0</v>
      </c>
      <c r="CH278" s="37"/>
      <c r="CI278" s="36">
        <f t="shared" si="369"/>
        <v>0</v>
      </c>
      <c r="CJ278" s="36"/>
      <c r="CK278" s="41">
        <f t="shared" si="370"/>
        <v>0</v>
      </c>
      <c r="CL278" s="41"/>
      <c r="CM278" s="41"/>
      <c r="CN278" s="41"/>
      <c r="CO278" s="41"/>
      <c r="CP278" s="42">
        <f t="shared" si="371"/>
        <v>5</v>
      </c>
      <c r="CQ278" s="42">
        <f t="shared" si="371"/>
        <v>162435.86333333331</v>
      </c>
    </row>
    <row r="279" spans="1:95" s="3" customFormat="1" ht="30" hidden="1" customHeight="1" x14ac:dyDescent="0.25">
      <c r="A279" s="54"/>
      <c r="B279" s="54">
        <v>197</v>
      </c>
      <c r="C279" s="55" t="s">
        <v>671</v>
      </c>
      <c r="D279" s="121" t="s">
        <v>672</v>
      </c>
      <c r="E279" s="110">
        <v>16026</v>
      </c>
      <c r="F279" s="110">
        <v>16828</v>
      </c>
      <c r="G279" s="33">
        <v>1.67</v>
      </c>
      <c r="H279" s="34"/>
      <c r="I279" s="35">
        <v>1</v>
      </c>
      <c r="J279" s="111"/>
      <c r="K279" s="35"/>
      <c r="L279" s="97">
        <v>1.4</v>
      </c>
      <c r="M279" s="97">
        <v>1.68</v>
      </c>
      <c r="N279" s="97">
        <v>2.23</v>
      </c>
      <c r="O279" s="97">
        <v>2.57</v>
      </c>
      <c r="P279" s="36"/>
      <c r="Q279" s="36">
        <f>SUM(P279/12*2*$E279*$G279*$I279*$L279*$Q$9)+(P279/12*10*$F279*$G279*$I279*$L279*$Q$9)</f>
        <v>0</v>
      </c>
      <c r="R279" s="37"/>
      <c r="S279" s="36">
        <f t="shared" si="339"/>
        <v>0</v>
      </c>
      <c r="T279" s="36"/>
      <c r="U279" s="36">
        <f t="shared" si="340"/>
        <v>0</v>
      </c>
      <c r="V279" s="37"/>
      <c r="W279" s="36">
        <f t="shared" si="341"/>
        <v>0</v>
      </c>
      <c r="X279" s="37"/>
      <c r="Y279" s="38">
        <f t="shared" si="342"/>
        <v>0</v>
      </c>
      <c r="Z279" s="37"/>
      <c r="AA279" s="36"/>
      <c r="AB279" s="37"/>
      <c r="AC279" s="36">
        <f t="shared" si="343"/>
        <v>0</v>
      </c>
      <c r="AD279" s="37">
        <v>0</v>
      </c>
      <c r="AE279" s="36">
        <f t="shared" si="344"/>
        <v>0</v>
      </c>
      <c r="AF279" s="37">
        <v>0</v>
      </c>
      <c r="AG279" s="36">
        <f t="shared" si="345"/>
        <v>0</v>
      </c>
      <c r="AH279" s="37"/>
      <c r="AI279" s="36">
        <f t="shared" si="346"/>
        <v>0</v>
      </c>
      <c r="AJ279" s="36">
        <v>0</v>
      </c>
      <c r="AK279" s="36">
        <v>0</v>
      </c>
      <c r="AL279" s="37"/>
      <c r="AM279" s="36">
        <f t="shared" si="347"/>
        <v>0</v>
      </c>
      <c r="AN279" s="37"/>
      <c r="AO279" s="36">
        <f t="shared" si="348"/>
        <v>0</v>
      </c>
      <c r="AP279" s="37"/>
      <c r="AQ279" s="36"/>
      <c r="AR279" s="36">
        <v>5</v>
      </c>
      <c r="AS279" s="36">
        <f t="shared" si="349"/>
        <v>195156.75666666665</v>
      </c>
      <c r="AT279" s="37"/>
      <c r="AU279" s="36">
        <f t="shared" si="350"/>
        <v>0</v>
      </c>
      <c r="AV279" s="37"/>
      <c r="AW279" s="36">
        <f t="shared" si="351"/>
        <v>0</v>
      </c>
      <c r="AX279" s="37"/>
      <c r="AY279" s="36">
        <f t="shared" si="352"/>
        <v>0</v>
      </c>
      <c r="AZ279" s="37"/>
      <c r="BA279" s="36">
        <f t="shared" si="353"/>
        <v>0</v>
      </c>
      <c r="BB279" s="37"/>
      <c r="BC279" s="36">
        <f t="shared" si="354"/>
        <v>0</v>
      </c>
      <c r="BD279" s="37"/>
      <c r="BE279" s="36">
        <f t="shared" si="355"/>
        <v>0</v>
      </c>
      <c r="BF279" s="37"/>
      <c r="BG279" s="39">
        <f t="shared" si="356"/>
        <v>0</v>
      </c>
      <c r="BH279" s="60"/>
      <c r="BI279" s="36">
        <f t="shared" si="357"/>
        <v>0</v>
      </c>
      <c r="BJ279" s="37"/>
      <c r="BK279" s="36">
        <f t="shared" si="358"/>
        <v>0</v>
      </c>
      <c r="BL279" s="37"/>
      <c r="BM279" s="36">
        <f t="shared" si="359"/>
        <v>0</v>
      </c>
      <c r="BN279" s="37"/>
      <c r="BO279" s="36">
        <f>(BN279/12*10*$F279*$G279*$I279*$M279*BO$9)</f>
        <v>0</v>
      </c>
      <c r="BP279" s="39"/>
      <c r="BQ279" s="36"/>
      <c r="BR279" s="37"/>
      <c r="BS279" s="36">
        <f t="shared" si="361"/>
        <v>0</v>
      </c>
      <c r="BT279" s="37"/>
      <c r="BU279" s="36">
        <f t="shared" si="362"/>
        <v>0</v>
      </c>
      <c r="BV279" s="36"/>
      <c r="BW279" s="36">
        <f t="shared" si="363"/>
        <v>0</v>
      </c>
      <c r="BX279" s="37"/>
      <c r="BY279" s="36">
        <f t="shared" si="364"/>
        <v>0</v>
      </c>
      <c r="BZ279" s="37"/>
      <c r="CA279" s="36">
        <f t="shared" si="365"/>
        <v>0</v>
      </c>
      <c r="CB279" s="37"/>
      <c r="CC279" s="36">
        <f t="shared" si="366"/>
        <v>0</v>
      </c>
      <c r="CD279" s="37"/>
      <c r="CE279" s="36">
        <f t="shared" si="367"/>
        <v>0</v>
      </c>
      <c r="CF279" s="37"/>
      <c r="CG279" s="36">
        <f t="shared" si="368"/>
        <v>0</v>
      </c>
      <c r="CH279" s="37"/>
      <c r="CI279" s="36">
        <f t="shared" si="369"/>
        <v>0</v>
      </c>
      <c r="CJ279" s="36"/>
      <c r="CK279" s="41">
        <f t="shared" si="370"/>
        <v>0</v>
      </c>
      <c r="CL279" s="41"/>
      <c r="CM279" s="41"/>
      <c r="CN279" s="41"/>
      <c r="CO279" s="41"/>
      <c r="CP279" s="42">
        <f t="shared" si="371"/>
        <v>5</v>
      </c>
      <c r="CQ279" s="42">
        <f t="shared" si="371"/>
        <v>195156.75666666665</v>
      </c>
    </row>
    <row r="280" spans="1:95" s="3" customFormat="1" ht="45" hidden="1" customHeight="1" x14ac:dyDescent="0.25">
      <c r="A280" s="54"/>
      <c r="B280" s="54">
        <v>198</v>
      </c>
      <c r="C280" s="55" t="s">
        <v>673</v>
      </c>
      <c r="D280" s="121" t="s">
        <v>674</v>
      </c>
      <c r="E280" s="110">
        <v>16026</v>
      </c>
      <c r="F280" s="110">
        <v>16828</v>
      </c>
      <c r="G280" s="33">
        <v>0.85</v>
      </c>
      <c r="H280" s="34"/>
      <c r="I280" s="35">
        <v>1</v>
      </c>
      <c r="J280" s="111"/>
      <c r="K280" s="35"/>
      <c r="L280" s="97">
        <v>1.4</v>
      </c>
      <c r="M280" s="97">
        <v>1.68</v>
      </c>
      <c r="N280" s="97">
        <v>2.23</v>
      </c>
      <c r="O280" s="97">
        <v>2.57</v>
      </c>
      <c r="P280" s="36"/>
      <c r="Q280" s="36">
        <f t="shared" si="372"/>
        <v>0</v>
      </c>
      <c r="R280" s="37"/>
      <c r="S280" s="36">
        <f t="shared" si="339"/>
        <v>0</v>
      </c>
      <c r="T280" s="36"/>
      <c r="U280" s="36">
        <f t="shared" si="340"/>
        <v>0</v>
      </c>
      <c r="V280" s="37"/>
      <c r="W280" s="36">
        <f t="shared" si="341"/>
        <v>0</v>
      </c>
      <c r="X280" s="37"/>
      <c r="Y280" s="38">
        <f t="shared" si="342"/>
        <v>0</v>
      </c>
      <c r="Z280" s="37"/>
      <c r="AA280" s="36"/>
      <c r="AB280" s="37">
        <v>0</v>
      </c>
      <c r="AC280" s="36">
        <f t="shared" si="343"/>
        <v>0</v>
      </c>
      <c r="AD280" s="37">
        <v>0</v>
      </c>
      <c r="AE280" s="36">
        <f t="shared" si="344"/>
        <v>0</v>
      </c>
      <c r="AF280" s="37">
        <v>0</v>
      </c>
      <c r="AG280" s="36">
        <f t="shared" si="345"/>
        <v>0</v>
      </c>
      <c r="AH280" s="37"/>
      <c r="AI280" s="36">
        <f t="shared" si="346"/>
        <v>0</v>
      </c>
      <c r="AJ280" s="36">
        <v>0</v>
      </c>
      <c r="AK280" s="36">
        <v>0</v>
      </c>
      <c r="AL280" s="37"/>
      <c r="AM280" s="36">
        <f t="shared" si="347"/>
        <v>0</v>
      </c>
      <c r="AN280" s="37"/>
      <c r="AO280" s="36">
        <f t="shared" si="348"/>
        <v>0</v>
      </c>
      <c r="AP280" s="37"/>
      <c r="AQ280" s="36"/>
      <c r="AR280" s="36">
        <v>120</v>
      </c>
      <c r="AS280" s="36">
        <f t="shared" si="349"/>
        <v>2383950.7999999998</v>
      </c>
      <c r="AT280" s="37"/>
      <c r="AU280" s="36">
        <f t="shared" si="350"/>
        <v>0</v>
      </c>
      <c r="AV280" s="37"/>
      <c r="AW280" s="36">
        <f t="shared" si="351"/>
        <v>0</v>
      </c>
      <c r="AX280" s="37"/>
      <c r="AY280" s="36">
        <f t="shared" si="352"/>
        <v>0</v>
      </c>
      <c r="AZ280" s="37"/>
      <c r="BA280" s="36">
        <f t="shared" si="353"/>
        <v>0</v>
      </c>
      <c r="BB280" s="37"/>
      <c r="BC280" s="36">
        <f t="shared" si="354"/>
        <v>0</v>
      </c>
      <c r="BD280" s="37"/>
      <c r="BE280" s="36">
        <f t="shared" si="355"/>
        <v>0</v>
      </c>
      <c r="BF280" s="37"/>
      <c r="BG280" s="39">
        <f t="shared" si="356"/>
        <v>0</v>
      </c>
      <c r="BH280" s="60"/>
      <c r="BI280" s="36">
        <f t="shared" si="357"/>
        <v>0</v>
      </c>
      <c r="BJ280" s="37"/>
      <c r="BK280" s="36">
        <f t="shared" si="358"/>
        <v>0</v>
      </c>
      <c r="BL280" s="37"/>
      <c r="BM280" s="36">
        <f t="shared" si="359"/>
        <v>0</v>
      </c>
      <c r="BN280" s="37"/>
      <c r="BO280" s="36">
        <f t="shared" si="360"/>
        <v>0</v>
      </c>
      <c r="BP280" s="39"/>
      <c r="BQ280" s="36"/>
      <c r="BR280" s="37"/>
      <c r="BS280" s="36">
        <f t="shared" si="361"/>
        <v>0</v>
      </c>
      <c r="BT280" s="37"/>
      <c r="BU280" s="36">
        <f t="shared" si="362"/>
        <v>0</v>
      </c>
      <c r="BV280" s="36"/>
      <c r="BW280" s="36">
        <f t="shared" si="363"/>
        <v>0</v>
      </c>
      <c r="BX280" s="37"/>
      <c r="BY280" s="36">
        <f t="shared" si="364"/>
        <v>0</v>
      </c>
      <c r="BZ280" s="37"/>
      <c r="CA280" s="36">
        <f t="shared" si="365"/>
        <v>0</v>
      </c>
      <c r="CB280" s="37"/>
      <c r="CC280" s="36">
        <f t="shared" si="366"/>
        <v>0</v>
      </c>
      <c r="CD280" s="37"/>
      <c r="CE280" s="36">
        <f t="shared" si="367"/>
        <v>0</v>
      </c>
      <c r="CF280" s="37"/>
      <c r="CG280" s="36">
        <f t="shared" si="368"/>
        <v>0</v>
      </c>
      <c r="CH280" s="37"/>
      <c r="CI280" s="36">
        <f t="shared" si="369"/>
        <v>0</v>
      </c>
      <c r="CJ280" s="36"/>
      <c r="CK280" s="41">
        <f t="shared" si="370"/>
        <v>0</v>
      </c>
      <c r="CL280" s="41"/>
      <c r="CM280" s="41"/>
      <c r="CN280" s="41"/>
      <c r="CO280" s="41"/>
      <c r="CP280" s="42">
        <f t="shared" si="371"/>
        <v>120</v>
      </c>
      <c r="CQ280" s="42">
        <f t="shared" si="371"/>
        <v>2383950.7999999998</v>
      </c>
    </row>
    <row r="281" spans="1:95" s="3" customFormat="1" ht="45" hidden="1" customHeight="1" x14ac:dyDescent="0.25">
      <c r="A281" s="54"/>
      <c r="B281" s="54">
        <v>199</v>
      </c>
      <c r="C281" s="55" t="s">
        <v>675</v>
      </c>
      <c r="D281" s="121" t="s">
        <v>676</v>
      </c>
      <c r="E281" s="110">
        <v>16026</v>
      </c>
      <c r="F281" s="110">
        <v>16828</v>
      </c>
      <c r="G281" s="33">
        <v>1.0900000000000001</v>
      </c>
      <c r="H281" s="34"/>
      <c r="I281" s="35">
        <v>1</v>
      </c>
      <c r="J281" s="111"/>
      <c r="K281" s="35"/>
      <c r="L281" s="97">
        <v>1.4</v>
      </c>
      <c r="M281" s="97">
        <v>1.68</v>
      </c>
      <c r="N281" s="97">
        <v>2.23</v>
      </c>
      <c r="O281" s="97">
        <v>2.57</v>
      </c>
      <c r="P281" s="36"/>
      <c r="Q281" s="36">
        <f t="shared" si="372"/>
        <v>0</v>
      </c>
      <c r="R281" s="37"/>
      <c r="S281" s="36">
        <f t="shared" si="339"/>
        <v>0</v>
      </c>
      <c r="T281" s="36"/>
      <c r="U281" s="36">
        <f t="shared" si="340"/>
        <v>0</v>
      </c>
      <c r="V281" s="37"/>
      <c r="W281" s="36">
        <f t="shared" si="341"/>
        <v>0</v>
      </c>
      <c r="X281" s="37"/>
      <c r="Y281" s="38">
        <f t="shared" si="342"/>
        <v>0</v>
      </c>
      <c r="Z281" s="37"/>
      <c r="AA281" s="36"/>
      <c r="AB281" s="37">
        <v>0</v>
      </c>
      <c r="AC281" s="36">
        <f t="shared" si="343"/>
        <v>0</v>
      </c>
      <c r="AD281" s="37">
        <v>0</v>
      </c>
      <c r="AE281" s="36">
        <f t="shared" si="344"/>
        <v>0</v>
      </c>
      <c r="AF281" s="37">
        <v>0</v>
      </c>
      <c r="AG281" s="36">
        <f t="shared" si="345"/>
        <v>0</v>
      </c>
      <c r="AH281" s="37"/>
      <c r="AI281" s="36">
        <f t="shared" si="346"/>
        <v>0</v>
      </c>
      <c r="AJ281" s="36">
        <v>0</v>
      </c>
      <c r="AK281" s="36">
        <v>0</v>
      </c>
      <c r="AL281" s="37"/>
      <c r="AM281" s="36">
        <f t="shared" si="347"/>
        <v>0</v>
      </c>
      <c r="AN281" s="37"/>
      <c r="AO281" s="36">
        <f t="shared" si="348"/>
        <v>0</v>
      </c>
      <c r="AP281" s="37"/>
      <c r="AQ281" s="36"/>
      <c r="AR281" s="36">
        <v>70</v>
      </c>
      <c r="AS281" s="36">
        <f t="shared" si="349"/>
        <v>1783288.6866666665</v>
      </c>
      <c r="AT281" s="37"/>
      <c r="AU281" s="36">
        <f t="shared" si="350"/>
        <v>0</v>
      </c>
      <c r="AV281" s="37"/>
      <c r="AW281" s="36">
        <f t="shared" si="351"/>
        <v>0</v>
      </c>
      <c r="AX281" s="37"/>
      <c r="AY281" s="36">
        <f t="shared" si="352"/>
        <v>0</v>
      </c>
      <c r="AZ281" s="37"/>
      <c r="BA281" s="36">
        <f t="shared" si="353"/>
        <v>0</v>
      </c>
      <c r="BB281" s="37"/>
      <c r="BC281" s="36">
        <f t="shared" si="354"/>
        <v>0</v>
      </c>
      <c r="BD281" s="37"/>
      <c r="BE281" s="36">
        <f t="shared" si="355"/>
        <v>0</v>
      </c>
      <c r="BF281" s="37"/>
      <c r="BG281" s="39">
        <f t="shared" si="356"/>
        <v>0</v>
      </c>
      <c r="BH281" s="60"/>
      <c r="BI281" s="36">
        <f t="shared" si="357"/>
        <v>0</v>
      </c>
      <c r="BJ281" s="37"/>
      <c r="BK281" s="36">
        <f t="shared" si="358"/>
        <v>0</v>
      </c>
      <c r="BL281" s="37"/>
      <c r="BM281" s="36">
        <f t="shared" si="359"/>
        <v>0</v>
      </c>
      <c r="BN281" s="37"/>
      <c r="BO281" s="36">
        <f t="shared" si="360"/>
        <v>0</v>
      </c>
      <c r="BP281" s="39"/>
      <c r="BQ281" s="36"/>
      <c r="BR281" s="37"/>
      <c r="BS281" s="36">
        <f t="shared" si="361"/>
        <v>0</v>
      </c>
      <c r="BT281" s="37"/>
      <c r="BU281" s="36">
        <f t="shared" si="362"/>
        <v>0</v>
      </c>
      <c r="BV281" s="36"/>
      <c r="BW281" s="36">
        <f t="shared" si="363"/>
        <v>0</v>
      </c>
      <c r="BX281" s="37"/>
      <c r="BY281" s="36">
        <f t="shared" si="364"/>
        <v>0</v>
      </c>
      <c r="BZ281" s="37"/>
      <c r="CA281" s="36">
        <f t="shared" si="365"/>
        <v>0</v>
      </c>
      <c r="CB281" s="37"/>
      <c r="CC281" s="36">
        <f t="shared" si="366"/>
        <v>0</v>
      </c>
      <c r="CD281" s="37"/>
      <c r="CE281" s="36">
        <f t="shared" si="367"/>
        <v>0</v>
      </c>
      <c r="CF281" s="37"/>
      <c r="CG281" s="36">
        <f t="shared" si="368"/>
        <v>0</v>
      </c>
      <c r="CH281" s="37"/>
      <c r="CI281" s="36">
        <f t="shared" si="369"/>
        <v>0</v>
      </c>
      <c r="CJ281" s="36"/>
      <c r="CK281" s="41">
        <f t="shared" si="370"/>
        <v>0</v>
      </c>
      <c r="CL281" s="41"/>
      <c r="CM281" s="41"/>
      <c r="CN281" s="41"/>
      <c r="CO281" s="41"/>
      <c r="CP281" s="42">
        <f t="shared" si="371"/>
        <v>70</v>
      </c>
      <c r="CQ281" s="42">
        <f t="shared" si="371"/>
        <v>1783288.6866666665</v>
      </c>
    </row>
    <row r="282" spans="1:95" s="3" customFormat="1" ht="45" hidden="1" customHeight="1" x14ac:dyDescent="0.25">
      <c r="A282" s="54"/>
      <c r="B282" s="54">
        <v>200</v>
      </c>
      <c r="C282" s="55" t="s">
        <v>677</v>
      </c>
      <c r="D282" s="121" t="s">
        <v>678</v>
      </c>
      <c r="E282" s="110">
        <v>16026</v>
      </c>
      <c r="F282" s="110">
        <v>16828</v>
      </c>
      <c r="G282" s="33">
        <v>1.5</v>
      </c>
      <c r="H282" s="34"/>
      <c r="I282" s="35">
        <v>1</v>
      </c>
      <c r="J282" s="111"/>
      <c r="K282" s="35"/>
      <c r="L282" s="97">
        <v>1.4</v>
      </c>
      <c r="M282" s="97">
        <v>1.68</v>
      </c>
      <c r="N282" s="97">
        <v>2.23</v>
      </c>
      <c r="O282" s="97">
        <v>2.57</v>
      </c>
      <c r="P282" s="36"/>
      <c r="Q282" s="36">
        <f t="shared" si="372"/>
        <v>0</v>
      </c>
      <c r="R282" s="37"/>
      <c r="S282" s="36">
        <f t="shared" si="339"/>
        <v>0</v>
      </c>
      <c r="T282" s="36"/>
      <c r="U282" s="36">
        <f t="shared" si="340"/>
        <v>0</v>
      </c>
      <c r="V282" s="37"/>
      <c r="W282" s="36">
        <f t="shared" si="341"/>
        <v>0</v>
      </c>
      <c r="X282" s="37"/>
      <c r="Y282" s="38">
        <f t="shared" si="342"/>
        <v>0</v>
      </c>
      <c r="Z282" s="37"/>
      <c r="AA282" s="36"/>
      <c r="AB282" s="37">
        <v>0</v>
      </c>
      <c r="AC282" s="36">
        <f t="shared" si="343"/>
        <v>0</v>
      </c>
      <c r="AD282" s="37">
        <v>0</v>
      </c>
      <c r="AE282" s="36">
        <f t="shared" si="344"/>
        <v>0</v>
      </c>
      <c r="AF282" s="37">
        <v>0</v>
      </c>
      <c r="AG282" s="36">
        <f t="shared" si="345"/>
        <v>0</v>
      </c>
      <c r="AH282" s="37"/>
      <c r="AI282" s="36">
        <f t="shared" si="346"/>
        <v>0</v>
      </c>
      <c r="AJ282" s="36">
        <v>0</v>
      </c>
      <c r="AK282" s="36">
        <v>0</v>
      </c>
      <c r="AL282" s="37"/>
      <c r="AM282" s="36">
        <f t="shared" si="347"/>
        <v>0</v>
      </c>
      <c r="AN282" s="37"/>
      <c r="AO282" s="36">
        <f t="shared" si="348"/>
        <v>0</v>
      </c>
      <c r="AP282" s="37"/>
      <c r="AQ282" s="36"/>
      <c r="AR282" s="36">
        <v>84</v>
      </c>
      <c r="AS282" s="36">
        <f t="shared" si="349"/>
        <v>2944880.4</v>
      </c>
      <c r="AT282" s="37"/>
      <c r="AU282" s="36">
        <f t="shared" si="350"/>
        <v>0</v>
      </c>
      <c r="AV282" s="37"/>
      <c r="AW282" s="36">
        <f t="shared" si="351"/>
        <v>0</v>
      </c>
      <c r="AX282" s="37"/>
      <c r="AY282" s="36">
        <f t="shared" si="352"/>
        <v>0</v>
      </c>
      <c r="AZ282" s="37"/>
      <c r="BA282" s="36">
        <f t="shared" si="353"/>
        <v>0</v>
      </c>
      <c r="BB282" s="37"/>
      <c r="BC282" s="36">
        <f t="shared" si="354"/>
        <v>0</v>
      </c>
      <c r="BD282" s="37"/>
      <c r="BE282" s="36">
        <f t="shared" si="355"/>
        <v>0</v>
      </c>
      <c r="BF282" s="37"/>
      <c r="BG282" s="39">
        <f t="shared" si="356"/>
        <v>0</v>
      </c>
      <c r="BH282" s="60"/>
      <c r="BI282" s="36">
        <f t="shared" si="357"/>
        <v>0</v>
      </c>
      <c r="BJ282" s="37"/>
      <c r="BK282" s="36">
        <f t="shared" si="358"/>
        <v>0</v>
      </c>
      <c r="BL282" s="37"/>
      <c r="BM282" s="36">
        <f t="shared" si="359"/>
        <v>0</v>
      </c>
      <c r="BN282" s="37"/>
      <c r="BO282" s="36">
        <f t="shared" si="360"/>
        <v>0</v>
      </c>
      <c r="BP282" s="39"/>
      <c r="BQ282" s="36"/>
      <c r="BR282" s="37"/>
      <c r="BS282" s="36">
        <f t="shared" si="361"/>
        <v>0</v>
      </c>
      <c r="BT282" s="37"/>
      <c r="BU282" s="36">
        <f t="shared" si="362"/>
        <v>0</v>
      </c>
      <c r="BV282" s="36"/>
      <c r="BW282" s="36">
        <f t="shared" si="363"/>
        <v>0</v>
      </c>
      <c r="BX282" s="37"/>
      <c r="BY282" s="36">
        <f t="shared" si="364"/>
        <v>0</v>
      </c>
      <c r="BZ282" s="37"/>
      <c r="CA282" s="36">
        <f t="shared" si="365"/>
        <v>0</v>
      </c>
      <c r="CB282" s="37"/>
      <c r="CC282" s="36">
        <f t="shared" si="366"/>
        <v>0</v>
      </c>
      <c r="CD282" s="37"/>
      <c r="CE282" s="36">
        <f t="shared" si="367"/>
        <v>0</v>
      </c>
      <c r="CF282" s="37"/>
      <c r="CG282" s="36">
        <f t="shared" si="368"/>
        <v>0</v>
      </c>
      <c r="CH282" s="37"/>
      <c r="CI282" s="36">
        <f t="shared" si="369"/>
        <v>0</v>
      </c>
      <c r="CJ282" s="36"/>
      <c r="CK282" s="41">
        <f t="shared" si="370"/>
        <v>0</v>
      </c>
      <c r="CL282" s="41"/>
      <c r="CM282" s="41"/>
      <c r="CN282" s="41"/>
      <c r="CO282" s="41"/>
      <c r="CP282" s="42">
        <f t="shared" si="371"/>
        <v>84</v>
      </c>
      <c r="CQ282" s="42">
        <f t="shared" si="371"/>
        <v>2944880.4</v>
      </c>
    </row>
    <row r="283" spans="1:95" s="3" customFormat="1" ht="45" hidden="1" customHeight="1" x14ac:dyDescent="0.25">
      <c r="A283" s="54"/>
      <c r="B283" s="54">
        <v>201</v>
      </c>
      <c r="C283" s="55" t="s">
        <v>679</v>
      </c>
      <c r="D283" s="121" t="s">
        <v>680</v>
      </c>
      <c r="E283" s="110">
        <v>16026</v>
      </c>
      <c r="F283" s="110">
        <v>16828</v>
      </c>
      <c r="G283" s="33">
        <v>1.8</v>
      </c>
      <c r="H283" s="34"/>
      <c r="I283" s="35">
        <v>1</v>
      </c>
      <c r="J283" s="111"/>
      <c r="K283" s="35"/>
      <c r="L283" s="97">
        <v>1.4</v>
      </c>
      <c r="M283" s="97">
        <v>1.68</v>
      </c>
      <c r="N283" s="97">
        <v>2.23</v>
      </c>
      <c r="O283" s="97">
        <v>2.57</v>
      </c>
      <c r="P283" s="36"/>
      <c r="Q283" s="36">
        <f t="shared" si="372"/>
        <v>0</v>
      </c>
      <c r="R283" s="37"/>
      <c r="S283" s="36">
        <f t="shared" si="339"/>
        <v>0</v>
      </c>
      <c r="T283" s="36"/>
      <c r="U283" s="36">
        <f t="shared" si="340"/>
        <v>0</v>
      </c>
      <c r="V283" s="37"/>
      <c r="W283" s="36">
        <f t="shared" si="341"/>
        <v>0</v>
      </c>
      <c r="X283" s="37"/>
      <c r="Y283" s="38">
        <f t="shared" si="342"/>
        <v>0</v>
      </c>
      <c r="Z283" s="37"/>
      <c r="AA283" s="36"/>
      <c r="AB283" s="37"/>
      <c r="AC283" s="36">
        <f t="shared" si="343"/>
        <v>0</v>
      </c>
      <c r="AD283" s="37">
        <v>0</v>
      </c>
      <c r="AE283" s="36">
        <f t="shared" si="344"/>
        <v>0</v>
      </c>
      <c r="AF283" s="37">
        <v>0</v>
      </c>
      <c r="AG283" s="36">
        <f t="shared" si="345"/>
        <v>0</v>
      </c>
      <c r="AH283" s="37"/>
      <c r="AI283" s="36">
        <f t="shared" si="346"/>
        <v>0</v>
      </c>
      <c r="AJ283" s="36">
        <v>0</v>
      </c>
      <c r="AK283" s="36">
        <v>0</v>
      </c>
      <c r="AL283" s="37"/>
      <c r="AM283" s="36">
        <f t="shared" si="347"/>
        <v>0</v>
      </c>
      <c r="AN283" s="37"/>
      <c r="AO283" s="36">
        <f t="shared" si="348"/>
        <v>0</v>
      </c>
      <c r="AP283" s="37"/>
      <c r="AQ283" s="36"/>
      <c r="AR283" s="36">
        <v>0</v>
      </c>
      <c r="AS283" s="36">
        <f t="shared" si="349"/>
        <v>0</v>
      </c>
      <c r="AT283" s="37"/>
      <c r="AU283" s="36">
        <f t="shared" si="350"/>
        <v>0</v>
      </c>
      <c r="AV283" s="37"/>
      <c r="AW283" s="36">
        <f t="shared" si="351"/>
        <v>0</v>
      </c>
      <c r="AX283" s="37"/>
      <c r="AY283" s="36">
        <f t="shared" si="352"/>
        <v>0</v>
      </c>
      <c r="AZ283" s="37"/>
      <c r="BA283" s="36">
        <f t="shared" si="353"/>
        <v>0</v>
      </c>
      <c r="BB283" s="37"/>
      <c r="BC283" s="36">
        <f t="shared" si="354"/>
        <v>0</v>
      </c>
      <c r="BD283" s="37"/>
      <c r="BE283" s="36">
        <f t="shared" si="355"/>
        <v>0</v>
      </c>
      <c r="BF283" s="37"/>
      <c r="BG283" s="39">
        <f t="shared" si="356"/>
        <v>0</v>
      </c>
      <c r="BH283" s="60"/>
      <c r="BI283" s="36">
        <f t="shared" si="357"/>
        <v>0</v>
      </c>
      <c r="BJ283" s="37"/>
      <c r="BK283" s="36">
        <f t="shared" si="358"/>
        <v>0</v>
      </c>
      <c r="BL283" s="37"/>
      <c r="BM283" s="36">
        <f t="shared" si="359"/>
        <v>0</v>
      </c>
      <c r="BN283" s="37"/>
      <c r="BO283" s="36">
        <f t="shared" si="360"/>
        <v>0</v>
      </c>
      <c r="BP283" s="39"/>
      <c r="BQ283" s="36"/>
      <c r="BR283" s="37"/>
      <c r="BS283" s="36">
        <f t="shared" si="361"/>
        <v>0</v>
      </c>
      <c r="BT283" s="37"/>
      <c r="BU283" s="36">
        <f t="shared" si="362"/>
        <v>0</v>
      </c>
      <c r="BV283" s="36"/>
      <c r="BW283" s="36">
        <f t="shared" si="363"/>
        <v>0</v>
      </c>
      <c r="BX283" s="37"/>
      <c r="BY283" s="36">
        <f t="shared" si="364"/>
        <v>0</v>
      </c>
      <c r="BZ283" s="37"/>
      <c r="CA283" s="36">
        <f t="shared" si="365"/>
        <v>0</v>
      </c>
      <c r="CB283" s="37"/>
      <c r="CC283" s="36">
        <f t="shared" si="366"/>
        <v>0</v>
      </c>
      <c r="CD283" s="37"/>
      <c r="CE283" s="36">
        <f t="shared" si="367"/>
        <v>0</v>
      </c>
      <c r="CF283" s="37"/>
      <c r="CG283" s="36">
        <f t="shared" si="368"/>
        <v>0</v>
      </c>
      <c r="CH283" s="37"/>
      <c r="CI283" s="36">
        <f t="shared" si="369"/>
        <v>0</v>
      </c>
      <c r="CJ283" s="36"/>
      <c r="CK283" s="41">
        <f t="shared" si="370"/>
        <v>0</v>
      </c>
      <c r="CL283" s="41"/>
      <c r="CM283" s="41"/>
      <c r="CN283" s="41"/>
      <c r="CO283" s="41"/>
      <c r="CP283" s="42">
        <f t="shared" si="371"/>
        <v>0</v>
      </c>
      <c r="CQ283" s="42">
        <f t="shared" si="371"/>
        <v>0</v>
      </c>
    </row>
    <row r="284" spans="1:95" s="3" customFormat="1" ht="30" hidden="1" customHeight="1" x14ac:dyDescent="0.25">
      <c r="A284" s="54"/>
      <c r="B284" s="54">
        <v>202</v>
      </c>
      <c r="C284" s="55" t="s">
        <v>681</v>
      </c>
      <c r="D284" s="121" t="s">
        <v>682</v>
      </c>
      <c r="E284" s="110">
        <v>16026</v>
      </c>
      <c r="F284" s="110">
        <v>16828</v>
      </c>
      <c r="G284" s="33">
        <v>2.75</v>
      </c>
      <c r="H284" s="34"/>
      <c r="I284" s="35">
        <v>1</v>
      </c>
      <c r="J284" s="111"/>
      <c r="K284" s="35"/>
      <c r="L284" s="97">
        <v>1.4</v>
      </c>
      <c r="M284" s="97">
        <v>1.68</v>
      </c>
      <c r="N284" s="97">
        <v>2.23</v>
      </c>
      <c r="O284" s="97">
        <v>2.57</v>
      </c>
      <c r="P284" s="36"/>
      <c r="Q284" s="36">
        <f t="shared" si="372"/>
        <v>0</v>
      </c>
      <c r="R284" s="37"/>
      <c r="S284" s="36">
        <f t="shared" si="339"/>
        <v>0</v>
      </c>
      <c r="T284" s="36"/>
      <c r="U284" s="36">
        <f t="shared" si="340"/>
        <v>0</v>
      </c>
      <c r="V284" s="37"/>
      <c r="W284" s="36">
        <f t="shared" si="341"/>
        <v>0</v>
      </c>
      <c r="X284" s="37"/>
      <c r="Y284" s="38">
        <f t="shared" si="342"/>
        <v>0</v>
      </c>
      <c r="Z284" s="37"/>
      <c r="AA284" s="36"/>
      <c r="AB284" s="37">
        <v>0</v>
      </c>
      <c r="AC284" s="36">
        <f t="shared" si="343"/>
        <v>0</v>
      </c>
      <c r="AD284" s="37">
        <v>0</v>
      </c>
      <c r="AE284" s="36">
        <f t="shared" si="344"/>
        <v>0</v>
      </c>
      <c r="AF284" s="37">
        <v>0</v>
      </c>
      <c r="AG284" s="36">
        <f t="shared" si="345"/>
        <v>0</v>
      </c>
      <c r="AH284" s="37"/>
      <c r="AI284" s="36">
        <f t="shared" si="346"/>
        <v>0</v>
      </c>
      <c r="AJ284" s="36">
        <v>0</v>
      </c>
      <c r="AK284" s="36">
        <v>0</v>
      </c>
      <c r="AL284" s="37"/>
      <c r="AM284" s="36">
        <f t="shared" si="347"/>
        <v>0</v>
      </c>
      <c r="AN284" s="37"/>
      <c r="AO284" s="36">
        <f t="shared" si="348"/>
        <v>0</v>
      </c>
      <c r="AP284" s="37"/>
      <c r="AQ284" s="36"/>
      <c r="AR284" s="36">
        <v>397</v>
      </c>
      <c r="AS284" s="36">
        <f t="shared" si="349"/>
        <v>25516453.783333331</v>
      </c>
      <c r="AT284" s="37"/>
      <c r="AU284" s="36">
        <f t="shared" si="350"/>
        <v>0</v>
      </c>
      <c r="AV284" s="37"/>
      <c r="AW284" s="36">
        <f t="shared" si="351"/>
        <v>0</v>
      </c>
      <c r="AX284" s="37"/>
      <c r="AY284" s="36">
        <f t="shared" si="352"/>
        <v>0</v>
      </c>
      <c r="AZ284" s="37"/>
      <c r="BA284" s="36">
        <f t="shared" si="353"/>
        <v>0</v>
      </c>
      <c r="BB284" s="37"/>
      <c r="BC284" s="36">
        <f t="shared" si="354"/>
        <v>0</v>
      </c>
      <c r="BD284" s="37"/>
      <c r="BE284" s="36">
        <f t="shared" si="355"/>
        <v>0</v>
      </c>
      <c r="BF284" s="37"/>
      <c r="BG284" s="39">
        <f t="shared" si="356"/>
        <v>0</v>
      </c>
      <c r="BH284" s="60"/>
      <c r="BI284" s="36">
        <f t="shared" si="357"/>
        <v>0</v>
      </c>
      <c r="BJ284" s="37"/>
      <c r="BK284" s="36">
        <f t="shared" si="358"/>
        <v>0</v>
      </c>
      <c r="BL284" s="37"/>
      <c r="BM284" s="36">
        <f t="shared" si="359"/>
        <v>0</v>
      </c>
      <c r="BN284" s="37"/>
      <c r="BO284" s="36">
        <f t="shared" si="360"/>
        <v>0</v>
      </c>
      <c r="BP284" s="39"/>
      <c r="BQ284" s="36"/>
      <c r="BR284" s="37"/>
      <c r="BS284" s="36">
        <f t="shared" si="361"/>
        <v>0</v>
      </c>
      <c r="BT284" s="37"/>
      <c r="BU284" s="36">
        <f t="shared" si="362"/>
        <v>0</v>
      </c>
      <c r="BV284" s="36"/>
      <c r="BW284" s="36">
        <f t="shared" si="363"/>
        <v>0</v>
      </c>
      <c r="BX284" s="37"/>
      <c r="BY284" s="36">
        <f t="shared" si="364"/>
        <v>0</v>
      </c>
      <c r="BZ284" s="37"/>
      <c r="CA284" s="36">
        <f t="shared" si="365"/>
        <v>0</v>
      </c>
      <c r="CB284" s="37"/>
      <c r="CC284" s="36">
        <f t="shared" si="366"/>
        <v>0</v>
      </c>
      <c r="CD284" s="37"/>
      <c r="CE284" s="36">
        <f t="shared" si="367"/>
        <v>0</v>
      </c>
      <c r="CF284" s="37"/>
      <c r="CG284" s="36">
        <f t="shared" si="368"/>
        <v>0</v>
      </c>
      <c r="CH284" s="37"/>
      <c r="CI284" s="36">
        <f t="shared" si="369"/>
        <v>0</v>
      </c>
      <c r="CJ284" s="36"/>
      <c r="CK284" s="41">
        <f t="shared" si="370"/>
        <v>0</v>
      </c>
      <c r="CL284" s="41"/>
      <c r="CM284" s="41"/>
      <c r="CN284" s="41"/>
      <c r="CO284" s="41"/>
      <c r="CP284" s="42">
        <f t="shared" si="371"/>
        <v>397</v>
      </c>
      <c r="CQ284" s="42">
        <f t="shared" si="371"/>
        <v>25516453.783333331</v>
      </c>
    </row>
    <row r="285" spans="1:95" s="3" customFormat="1" ht="45" hidden="1" customHeight="1" x14ac:dyDescent="0.25">
      <c r="A285" s="54"/>
      <c r="B285" s="54">
        <v>203</v>
      </c>
      <c r="C285" s="55" t="s">
        <v>683</v>
      </c>
      <c r="D285" s="121" t="s">
        <v>684</v>
      </c>
      <c r="E285" s="110">
        <v>16026</v>
      </c>
      <c r="F285" s="110">
        <v>16828</v>
      </c>
      <c r="G285" s="33">
        <v>2.35</v>
      </c>
      <c r="H285" s="34"/>
      <c r="I285" s="35">
        <v>1</v>
      </c>
      <c r="J285" s="111"/>
      <c r="K285" s="35"/>
      <c r="L285" s="97">
        <v>1.4</v>
      </c>
      <c r="M285" s="97">
        <v>1.68</v>
      </c>
      <c r="N285" s="97">
        <v>2.23</v>
      </c>
      <c r="O285" s="97">
        <v>2.57</v>
      </c>
      <c r="P285" s="36"/>
      <c r="Q285" s="36">
        <f t="shared" si="372"/>
        <v>0</v>
      </c>
      <c r="R285" s="37"/>
      <c r="S285" s="36">
        <f t="shared" si="339"/>
        <v>0</v>
      </c>
      <c r="T285" s="36"/>
      <c r="U285" s="36">
        <f t="shared" si="340"/>
        <v>0</v>
      </c>
      <c r="V285" s="37"/>
      <c r="W285" s="36">
        <f t="shared" si="341"/>
        <v>0</v>
      </c>
      <c r="X285" s="37"/>
      <c r="Y285" s="38">
        <f t="shared" si="342"/>
        <v>0</v>
      </c>
      <c r="Z285" s="37"/>
      <c r="AA285" s="36"/>
      <c r="AB285" s="37"/>
      <c r="AC285" s="36">
        <f t="shared" si="343"/>
        <v>0</v>
      </c>
      <c r="AD285" s="37">
        <v>0</v>
      </c>
      <c r="AE285" s="36">
        <f t="shared" si="344"/>
        <v>0</v>
      </c>
      <c r="AF285" s="37">
        <v>0</v>
      </c>
      <c r="AG285" s="36">
        <f t="shared" si="345"/>
        <v>0</v>
      </c>
      <c r="AH285" s="37"/>
      <c r="AI285" s="36">
        <f t="shared" si="346"/>
        <v>0</v>
      </c>
      <c r="AJ285" s="36">
        <v>0</v>
      </c>
      <c r="AK285" s="36">
        <v>0</v>
      </c>
      <c r="AL285" s="37"/>
      <c r="AM285" s="36">
        <f t="shared" si="347"/>
        <v>0</v>
      </c>
      <c r="AN285" s="37"/>
      <c r="AO285" s="36">
        <f t="shared" si="348"/>
        <v>0</v>
      </c>
      <c r="AP285" s="37"/>
      <c r="AQ285" s="36"/>
      <c r="AR285" s="36">
        <v>8</v>
      </c>
      <c r="AS285" s="36">
        <f t="shared" si="349"/>
        <v>439394.85333333327</v>
      </c>
      <c r="AT285" s="37"/>
      <c r="AU285" s="36">
        <f t="shared" si="350"/>
        <v>0</v>
      </c>
      <c r="AV285" s="37"/>
      <c r="AW285" s="36">
        <f t="shared" si="351"/>
        <v>0</v>
      </c>
      <c r="AX285" s="37"/>
      <c r="AY285" s="36">
        <f t="shared" si="352"/>
        <v>0</v>
      </c>
      <c r="AZ285" s="37"/>
      <c r="BA285" s="36">
        <f t="shared" si="353"/>
        <v>0</v>
      </c>
      <c r="BB285" s="37"/>
      <c r="BC285" s="36">
        <f t="shared" si="354"/>
        <v>0</v>
      </c>
      <c r="BD285" s="37"/>
      <c r="BE285" s="36">
        <f t="shared" si="355"/>
        <v>0</v>
      </c>
      <c r="BF285" s="37"/>
      <c r="BG285" s="39">
        <f t="shared" si="356"/>
        <v>0</v>
      </c>
      <c r="BH285" s="60"/>
      <c r="BI285" s="36">
        <f t="shared" si="357"/>
        <v>0</v>
      </c>
      <c r="BJ285" s="37"/>
      <c r="BK285" s="36">
        <f t="shared" si="358"/>
        <v>0</v>
      </c>
      <c r="BL285" s="37"/>
      <c r="BM285" s="36">
        <f t="shared" si="359"/>
        <v>0</v>
      </c>
      <c r="BN285" s="37"/>
      <c r="BO285" s="36">
        <f t="shared" si="360"/>
        <v>0</v>
      </c>
      <c r="BP285" s="39"/>
      <c r="BQ285" s="36"/>
      <c r="BR285" s="37"/>
      <c r="BS285" s="36">
        <f t="shared" si="361"/>
        <v>0</v>
      </c>
      <c r="BT285" s="37"/>
      <c r="BU285" s="36">
        <f t="shared" si="362"/>
        <v>0</v>
      </c>
      <c r="BV285" s="36"/>
      <c r="BW285" s="36">
        <f t="shared" si="363"/>
        <v>0</v>
      </c>
      <c r="BX285" s="37"/>
      <c r="BY285" s="36">
        <f t="shared" si="364"/>
        <v>0</v>
      </c>
      <c r="BZ285" s="37"/>
      <c r="CA285" s="36">
        <f t="shared" si="365"/>
        <v>0</v>
      </c>
      <c r="CB285" s="37"/>
      <c r="CC285" s="36">
        <f t="shared" si="366"/>
        <v>0</v>
      </c>
      <c r="CD285" s="37"/>
      <c r="CE285" s="36">
        <f t="shared" si="367"/>
        <v>0</v>
      </c>
      <c r="CF285" s="37"/>
      <c r="CG285" s="36">
        <f t="shared" si="368"/>
        <v>0</v>
      </c>
      <c r="CH285" s="37"/>
      <c r="CI285" s="36">
        <f t="shared" si="369"/>
        <v>0</v>
      </c>
      <c r="CJ285" s="36"/>
      <c r="CK285" s="41">
        <f t="shared" si="370"/>
        <v>0</v>
      </c>
      <c r="CL285" s="41"/>
      <c r="CM285" s="41"/>
      <c r="CN285" s="41"/>
      <c r="CO285" s="41"/>
      <c r="CP285" s="42">
        <f t="shared" si="371"/>
        <v>8</v>
      </c>
      <c r="CQ285" s="42">
        <f t="shared" si="371"/>
        <v>439394.85333333327</v>
      </c>
    </row>
    <row r="286" spans="1:95" s="3" customFormat="1" ht="30" hidden="1" customHeight="1" x14ac:dyDescent="0.25">
      <c r="A286" s="54"/>
      <c r="B286" s="54">
        <v>204</v>
      </c>
      <c r="C286" s="55" t="s">
        <v>685</v>
      </c>
      <c r="D286" s="121" t="s">
        <v>686</v>
      </c>
      <c r="E286" s="110">
        <v>16026</v>
      </c>
      <c r="F286" s="110">
        <v>16828</v>
      </c>
      <c r="G286" s="33">
        <v>1.76</v>
      </c>
      <c r="H286" s="34"/>
      <c r="I286" s="35">
        <v>1</v>
      </c>
      <c r="J286" s="111"/>
      <c r="K286" s="35"/>
      <c r="L286" s="97">
        <v>1.4</v>
      </c>
      <c r="M286" s="97">
        <v>1.68</v>
      </c>
      <c r="N286" s="97">
        <v>2.23</v>
      </c>
      <c r="O286" s="97">
        <v>2.57</v>
      </c>
      <c r="P286" s="36"/>
      <c r="Q286" s="36">
        <f t="shared" si="372"/>
        <v>0</v>
      </c>
      <c r="R286" s="37"/>
      <c r="S286" s="36">
        <f t="shared" si="339"/>
        <v>0</v>
      </c>
      <c r="T286" s="36"/>
      <c r="U286" s="36">
        <f t="shared" si="340"/>
        <v>0</v>
      </c>
      <c r="V286" s="37"/>
      <c r="W286" s="36">
        <f t="shared" si="341"/>
        <v>0</v>
      </c>
      <c r="X286" s="37"/>
      <c r="Y286" s="38">
        <f t="shared" si="342"/>
        <v>0</v>
      </c>
      <c r="Z286" s="37"/>
      <c r="AA286" s="36"/>
      <c r="AB286" s="37"/>
      <c r="AC286" s="36">
        <f t="shared" si="343"/>
        <v>0</v>
      </c>
      <c r="AD286" s="37"/>
      <c r="AE286" s="36">
        <f t="shared" si="344"/>
        <v>0</v>
      </c>
      <c r="AF286" s="37"/>
      <c r="AG286" s="36">
        <f t="shared" si="345"/>
        <v>0</v>
      </c>
      <c r="AH286" s="37"/>
      <c r="AI286" s="36">
        <f t="shared" si="346"/>
        <v>0</v>
      </c>
      <c r="AJ286" s="36">
        <v>0</v>
      </c>
      <c r="AK286" s="36">
        <v>0</v>
      </c>
      <c r="AL286" s="37"/>
      <c r="AM286" s="36">
        <f t="shared" si="347"/>
        <v>0</v>
      </c>
      <c r="AN286" s="37"/>
      <c r="AO286" s="36">
        <f t="shared" si="348"/>
        <v>0</v>
      </c>
      <c r="AP286" s="37"/>
      <c r="AQ286" s="36"/>
      <c r="AR286" s="36">
        <v>0</v>
      </c>
      <c r="AS286" s="36">
        <f t="shared" si="349"/>
        <v>0</v>
      </c>
      <c r="AT286" s="37"/>
      <c r="AU286" s="36">
        <f t="shared" si="350"/>
        <v>0</v>
      </c>
      <c r="AV286" s="37"/>
      <c r="AW286" s="36">
        <f t="shared" si="351"/>
        <v>0</v>
      </c>
      <c r="AX286" s="37"/>
      <c r="AY286" s="36">
        <f t="shared" si="352"/>
        <v>0</v>
      </c>
      <c r="AZ286" s="37"/>
      <c r="BA286" s="36">
        <f t="shared" si="353"/>
        <v>0</v>
      </c>
      <c r="BB286" s="37"/>
      <c r="BC286" s="36">
        <f t="shared" si="354"/>
        <v>0</v>
      </c>
      <c r="BD286" s="37"/>
      <c r="BE286" s="36">
        <f t="shared" si="355"/>
        <v>0</v>
      </c>
      <c r="BF286" s="37"/>
      <c r="BG286" s="39">
        <f t="shared" si="356"/>
        <v>0</v>
      </c>
      <c r="BH286" s="60"/>
      <c r="BI286" s="36">
        <f t="shared" si="357"/>
        <v>0</v>
      </c>
      <c r="BJ286" s="37"/>
      <c r="BK286" s="36">
        <f t="shared" si="358"/>
        <v>0</v>
      </c>
      <c r="BL286" s="37"/>
      <c r="BM286" s="36">
        <f t="shared" si="359"/>
        <v>0</v>
      </c>
      <c r="BN286" s="37"/>
      <c r="BO286" s="36">
        <f t="shared" si="360"/>
        <v>0</v>
      </c>
      <c r="BP286" s="39"/>
      <c r="BQ286" s="36"/>
      <c r="BR286" s="37"/>
      <c r="BS286" s="36">
        <f t="shared" si="361"/>
        <v>0</v>
      </c>
      <c r="BT286" s="37"/>
      <c r="BU286" s="36">
        <f t="shared" si="362"/>
        <v>0</v>
      </c>
      <c r="BV286" s="36"/>
      <c r="BW286" s="36">
        <f t="shared" si="363"/>
        <v>0</v>
      </c>
      <c r="BX286" s="37"/>
      <c r="BY286" s="36">
        <f t="shared" si="364"/>
        <v>0</v>
      </c>
      <c r="BZ286" s="37"/>
      <c r="CA286" s="36">
        <f t="shared" si="365"/>
        <v>0</v>
      </c>
      <c r="CB286" s="37"/>
      <c r="CC286" s="36">
        <f t="shared" si="366"/>
        <v>0</v>
      </c>
      <c r="CD286" s="37"/>
      <c r="CE286" s="36">
        <f t="shared" si="367"/>
        <v>0</v>
      </c>
      <c r="CF286" s="37"/>
      <c r="CG286" s="36">
        <f t="shared" si="368"/>
        <v>0</v>
      </c>
      <c r="CH286" s="37"/>
      <c r="CI286" s="36">
        <f t="shared" si="369"/>
        <v>0</v>
      </c>
      <c r="CJ286" s="36"/>
      <c r="CK286" s="41">
        <f t="shared" si="370"/>
        <v>0</v>
      </c>
      <c r="CL286" s="41"/>
      <c r="CM286" s="41"/>
      <c r="CN286" s="41"/>
      <c r="CO286" s="41"/>
      <c r="CP286" s="42">
        <f t="shared" si="371"/>
        <v>0</v>
      </c>
      <c r="CQ286" s="42">
        <f t="shared" si="371"/>
        <v>0</v>
      </c>
    </row>
    <row r="287" spans="1:95" s="3" customFormat="1" ht="45" hidden="1" customHeight="1" x14ac:dyDescent="0.25">
      <c r="A287" s="54"/>
      <c r="B287" s="54">
        <v>205</v>
      </c>
      <c r="C287" s="55" t="s">
        <v>687</v>
      </c>
      <c r="D287" s="121" t="s">
        <v>688</v>
      </c>
      <c r="E287" s="110">
        <v>16026</v>
      </c>
      <c r="F287" s="110">
        <v>16828</v>
      </c>
      <c r="G287" s="33">
        <v>1.51</v>
      </c>
      <c r="H287" s="34"/>
      <c r="I287" s="35">
        <v>1</v>
      </c>
      <c r="J287" s="111"/>
      <c r="K287" s="35"/>
      <c r="L287" s="97">
        <v>1.4</v>
      </c>
      <c r="M287" s="97">
        <v>1.68</v>
      </c>
      <c r="N287" s="97">
        <v>2.23</v>
      </c>
      <c r="O287" s="97">
        <v>2.57</v>
      </c>
      <c r="P287" s="36"/>
      <c r="Q287" s="36">
        <f t="shared" si="372"/>
        <v>0</v>
      </c>
      <c r="R287" s="37"/>
      <c r="S287" s="36">
        <f t="shared" si="339"/>
        <v>0</v>
      </c>
      <c r="T287" s="36"/>
      <c r="U287" s="36">
        <f t="shared" si="340"/>
        <v>0</v>
      </c>
      <c r="V287" s="37"/>
      <c r="W287" s="36">
        <f t="shared" si="341"/>
        <v>0</v>
      </c>
      <c r="X287" s="37"/>
      <c r="Y287" s="38">
        <f t="shared" si="342"/>
        <v>0</v>
      </c>
      <c r="Z287" s="37"/>
      <c r="AA287" s="36"/>
      <c r="AB287" s="37"/>
      <c r="AC287" s="36">
        <f t="shared" si="343"/>
        <v>0</v>
      </c>
      <c r="AD287" s="37"/>
      <c r="AE287" s="36">
        <f t="shared" si="344"/>
        <v>0</v>
      </c>
      <c r="AF287" s="37"/>
      <c r="AG287" s="36">
        <f t="shared" si="345"/>
        <v>0</v>
      </c>
      <c r="AH287" s="37"/>
      <c r="AI287" s="36">
        <f t="shared" si="346"/>
        <v>0</v>
      </c>
      <c r="AJ287" s="36">
        <v>0</v>
      </c>
      <c r="AK287" s="36">
        <v>0</v>
      </c>
      <c r="AL287" s="37"/>
      <c r="AM287" s="36">
        <f t="shared" si="347"/>
        <v>0</v>
      </c>
      <c r="AN287" s="37"/>
      <c r="AO287" s="36">
        <f t="shared" si="348"/>
        <v>0</v>
      </c>
      <c r="AP287" s="37"/>
      <c r="AQ287" s="36"/>
      <c r="AR287" s="36">
        <v>0</v>
      </c>
      <c r="AS287" s="36">
        <f t="shared" si="349"/>
        <v>0</v>
      </c>
      <c r="AT287" s="37"/>
      <c r="AU287" s="36">
        <f t="shared" si="350"/>
        <v>0</v>
      </c>
      <c r="AV287" s="37"/>
      <c r="AW287" s="36">
        <f t="shared" si="351"/>
        <v>0</v>
      </c>
      <c r="AX287" s="37"/>
      <c r="AY287" s="36">
        <f t="shared" si="352"/>
        <v>0</v>
      </c>
      <c r="AZ287" s="37"/>
      <c r="BA287" s="36">
        <f t="shared" si="353"/>
        <v>0</v>
      </c>
      <c r="BB287" s="37"/>
      <c r="BC287" s="36">
        <f t="shared" si="354"/>
        <v>0</v>
      </c>
      <c r="BD287" s="37"/>
      <c r="BE287" s="36">
        <f t="shared" si="355"/>
        <v>0</v>
      </c>
      <c r="BF287" s="37"/>
      <c r="BG287" s="39">
        <f t="shared" si="356"/>
        <v>0</v>
      </c>
      <c r="BH287" s="60"/>
      <c r="BI287" s="36">
        <f t="shared" si="357"/>
        <v>0</v>
      </c>
      <c r="BJ287" s="37"/>
      <c r="BK287" s="36">
        <f t="shared" si="358"/>
        <v>0</v>
      </c>
      <c r="BL287" s="37"/>
      <c r="BM287" s="36">
        <f t="shared" si="359"/>
        <v>0</v>
      </c>
      <c r="BN287" s="37"/>
      <c r="BO287" s="36">
        <f t="shared" si="360"/>
        <v>0</v>
      </c>
      <c r="BP287" s="39"/>
      <c r="BQ287" s="36"/>
      <c r="BR287" s="37"/>
      <c r="BS287" s="36">
        <f t="shared" si="361"/>
        <v>0</v>
      </c>
      <c r="BT287" s="37"/>
      <c r="BU287" s="36">
        <f t="shared" si="362"/>
        <v>0</v>
      </c>
      <c r="BV287" s="36"/>
      <c r="BW287" s="36">
        <f t="shared" si="363"/>
        <v>0</v>
      </c>
      <c r="BX287" s="37"/>
      <c r="BY287" s="36">
        <f t="shared" si="364"/>
        <v>0</v>
      </c>
      <c r="BZ287" s="37"/>
      <c r="CA287" s="36">
        <f t="shared" si="365"/>
        <v>0</v>
      </c>
      <c r="CB287" s="37"/>
      <c r="CC287" s="36">
        <f t="shared" si="366"/>
        <v>0</v>
      </c>
      <c r="CD287" s="37"/>
      <c r="CE287" s="36">
        <f t="shared" si="367"/>
        <v>0</v>
      </c>
      <c r="CF287" s="37"/>
      <c r="CG287" s="36">
        <f t="shared" si="368"/>
        <v>0</v>
      </c>
      <c r="CH287" s="37"/>
      <c r="CI287" s="36">
        <f t="shared" si="369"/>
        <v>0</v>
      </c>
      <c r="CJ287" s="36"/>
      <c r="CK287" s="41">
        <f t="shared" si="370"/>
        <v>0</v>
      </c>
      <c r="CL287" s="41"/>
      <c r="CM287" s="41"/>
      <c r="CN287" s="41"/>
      <c r="CO287" s="41"/>
      <c r="CP287" s="42">
        <f t="shared" si="371"/>
        <v>0</v>
      </c>
      <c r="CQ287" s="42">
        <f t="shared" si="371"/>
        <v>0</v>
      </c>
    </row>
    <row r="288" spans="1:95" s="3" customFormat="1" ht="45" hidden="1" customHeight="1" x14ac:dyDescent="0.25">
      <c r="A288" s="54"/>
      <c r="B288" s="54">
        <v>206</v>
      </c>
      <c r="C288" s="55" t="s">
        <v>689</v>
      </c>
      <c r="D288" s="121" t="s">
        <v>690</v>
      </c>
      <c r="E288" s="110">
        <v>16026</v>
      </c>
      <c r="F288" s="110">
        <v>16828</v>
      </c>
      <c r="G288" s="75">
        <v>1</v>
      </c>
      <c r="H288" s="34"/>
      <c r="I288" s="35">
        <v>1</v>
      </c>
      <c r="J288" s="111"/>
      <c r="K288" s="35"/>
      <c r="L288" s="97">
        <v>1.4</v>
      </c>
      <c r="M288" s="97">
        <v>1.68</v>
      </c>
      <c r="N288" s="97">
        <v>2.23</v>
      </c>
      <c r="O288" s="97">
        <v>2.57</v>
      </c>
      <c r="P288" s="36"/>
      <c r="Q288" s="36">
        <f t="shared" si="372"/>
        <v>0</v>
      </c>
      <c r="R288" s="37"/>
      <c r="S288" s="36">
        <f t="shared" si="339"/>
        <v>0</v>
      </c>
      <c r="T288" s="36"/>
      <c r="U288" s="36">
        <f t="shared" si="340"/>
        <v>0</v>
      </c>
      <c r="V288" s="37"/>
      <c r="W288" s="36">
        <f t="shared" si="341"/>
        <v>0</v>
      </c>
      <c r="X288" s="37"/>
      <c r="Y288" s="38">
        <f t="shared" si="342"/>
        <v>0</v>
      </c>
      <c r="Z288" s="37"/>
      <c r="AA288" s="36"/>
      <c r="AB288" s="37"/>
      <c r="AC288" s="36">
        <f t="shared" si="343"/>
        <v>0</v>
      </c>
      <c r="AD288" s="37"/>
      <c r="AE288" s="36">
        <f t="shared" si="344"/>
        <v>0</v>
      </c>
      <c r="AF288" s="37"/>
      <c r="AG288" s="36">
        <f t="shared" si="345"/>
        <v>0</v>
      </c>
      <c r="AH288" s="37"/>
      <c r="AI288" s="36">
        <f t="shared" si="346"/>
        <v>0</v>
      </c>
      <c r="AJ288" s="36">
        <v>0</v>
      </c>
      <c r="AK288" s="36">
        <v>0</v>
      </c>
      <c r="AL288" s="37"/>
      <c r="AM288" s="36">
        <f t="shared" si="347"/>
        <v>0</v>
      </c>
      <c r="AN288" s="37"/>
      <c r="AO288" s="36">
        <f t="shared" si="348"/>
        <v>0</v>
      </c>
      <c r="AP288" s="37"/>
      <c r="AQ288" s="36"/>
      <c r="AR288" s="36">
        <v>10</v>
      </c>
      <c r="AS288" s="36">
        <f t="shared" si="349"/>
        <v>233720.66666666666</v>
      </c>
      <c r="AT288" s="37"/>
      <c r="AU288" s="36">
        <f t="shared" si="350"/>
        <v>0</v>
      </c>
      <c r="AV288" s="37"/>
      <c r="AW288" s="36">
        <f t="shared" si="351"/>
        <v>0</v>
      </c>
      <c r="AX288" s="37"/>
      <c r="AY288" s="36">
        <f t="shared" si="352"/>
        <v>0</v>
      </c>
      <c r="AZ288" s="37"/>
      <c r="BA288" s="36">
        <f t="shared" si="353"/>
        <v>0</v>
      </c>
      <c r="BB288" s="37"/>
      <c r="BC288" s="36">
        <f t="shared" si="354"/>
        <v>0</v>
      </c>
      <c r="BD288" s="37"/>
      <c r="BE288" s="36">
        <f t="shared" si="355"/>
        <v>0</v>
      </c>
      <c r="BF288" s="37"/>
      <c r="BG288" s="39">
        <f t="shared" si="356"/>
        <v>0</v>
      </c>
      <c r="BH288" s="60"/>
      <c r="BI288" s="36">
        <f t="shared" si="357"/>
        <v>0</v>
      </c>
      <c r="BJ288" s="37"/>
      <c r="BK288" s="36">
        <f t="shared" si="358"/>
        <v>0</v>
      </c>
      <c r="BL288" s="37"/>
      <c r="BM288" s="36">
        <f t="shared" si="359"/>
        <v>0</v>
      </c>
      <c r="BN288" s="37"/>
      <c r="BO288" s="36">
        <f t="shared" si="360"/>
        <v>0</v>
      </c>
      <c r="BP288" s="39"/>
      <c r="BQ288" s="36"/>
      <c r="BR288" s="37"/>
      <c r="BS288" s="36">
        <f t="shared" si="361"/>
        <v>0</v>
      </c>
      <c r="BT288" s="37"/>
      <c r="BU288" s="36">
        <f t="shared" si="362"/>
        <v>0</v>
      </c>
      <c r="BV288" s="36"/>
      <c r="BW288" s="36">
        <f t="shared" si="363"/>
        <v>0</v>
      </c>
      <c r="BX288" s="37"/>
      <c r="BY288" s="36">
        <f t="shared" si="364"/>
        <v>0</v>
      </c>
      <c r="BZ288" s="37"/>
      <c r="CA288" s="36">
        <f t="shared" si="365"/>
        <v>0</v>
      </c>
      <c r="CB288" s="37"/>
      <c r="CC288" s="36">
        <f t="shared" si="366"/>
        <v>0</v>
      </c>
      <c r="CD288" s="37"/>
      <c r="CE288" s="36">
        <f t="shared" si="367"/>
        <v>0</v>
      </c>
      <c r="CF288" s="37"/>
      <c r="CG288" s="36">
        <f t="shared" si="368"/>
        <v>0</v>
      </c>
      <c r="CH288" s="37"/>
      <c r="CI288" s="36">
        <f t="shared" si="369"/>
        <v>0</v>
      </c>
      <c r="CJ288" s="36"/>
      <c r="CK288" s="41">
        <f t="shared" si="370"/>
        <v>0</v>
      </c>
      <c r="CL288" s="41"/>
      <c r="CM288" s="41"/>
      <c r="CN288" s="41"/>
      <c r="CO288" s="41"/>
      <c r="CP288" s="42">
        <f t="shared" si="371"/>
        <v>10</v>
      </c>
      <c r="CQ288" s="42">
        <f t="shared" si="371"/>
        <v>233720.66666666666</v>
      </c>
    </row>
    <row r="289" spans="1:95" s="3" customFormat="1" ht="45" hidden="1" customHeight="1" x14ac:dyDescent="0.25">
      <c r="A289" s="54"/>
      <c r="B289" s="54">
        <v>207</v>
      </c>
      <c r="C289" s="55" t="s">
        <v>691</v>
      </c>
      <c r="D289" s="121" t="s">
        <v>692</v>
      </c>
      <c r="E289" s="110">
        <v>16026</v>
      </c>
      <c r="F289" s="110">
        <v>16828</v>
      </c>
      <c r="G289" s="33">
        <v>1.4</v>
      </c>
      <c r="H289" s="34"/>
      <c r="I289" s="35">
        <v>1</v>
      </c>
      <c r="J289" s="111"/>
      <c r="K289" s="35"/>
      <c r="L289" s="97">
        <v>1.4</v>
      </c>
      <c r="M289" s="97">
        <v>1.68</v>
      </c>
      <c r="N289" s="97">
        <v>2.23</v>
      </c>
      <c r="O289" s="97">
        <v>2.57</v>
      </c>
      <c r="P289" s="36"/>
      <c r="Q289" s="36">
        <f t="shared" si="372"/>
        <v>0</v>
      </c>
      <c r="R289" s="37"/>
      <c r="S289" s="36">
        <f t="shared" si="339"/>
        <v>0</v>
      </c>
      <c r="T289" s="36"/>
      <c r="U289" s="36">
        <f t="shared" si="340"/>
        <v>0</v>
      </c>
      <c r="V289" s="37"/>
      <c r="W289" s="36">
        <f t="shared" si="341"/>
        <v>0</v>
      </c>
      <c r="X289" s="37"/>
      <c r="Y289" s="38">
        <f t="shared" si="342"/>
        <v>0</v>
      </c>
      <c r="Z289" s="37"/>
      <c r="AA289" s="36"/>
      <c r="AB289" s="37"/>
      <c r="AC289" s="36">
        <f t="shared" si="343"/>
        <v>0</v>
      </c>
      <c r="AD289" s="37"/>
      <c r="AE289" s="36">
        <f t="shared" si="344"/>
        <v>0</v>
      </c>
      <c r="AF289" s="37"/>
      <c r="AG289" s="36">
        <f t="shared" si="345"/>
        <v>0</v>
      </c>
      <c r="AH289" s="37"/>
      <c r="AI289" s="36">
        <f t="shared" si="346"/>
        <v>0</v>
      </c>
      <c r="AJ289" s="36">
        <v>0</v>
      </c>
      <c r="AK289" s="36">
        <v>0</v>
      </c>
      <c r="AL289" s="37"/>
      <c r="AM289" s="36">
        <f t="shared" si="347"/>
        <v>0</v>
      </c>
      <c r="AN289" s="37"/>
      <c r="AO289" s="36">
        <f t="shared" si="348"/>
        <v>0</v>
      </c>
      <c r="AP289" s="37"/>
      <c r="AQ289" s="36"/>
      <c r="AR289" s="36">
        <v>9</v>
      </c>
      <c r="AS289" s="36">
        <f t="shared" si="349"/>
        <v>294488.03999999998</v>
      </c>
      <c r="AT289" s="37"/>
      <c r="AU289" s="36">
        <f t="shared" si="350"/>
        <v>0</v>
      </c>
      <c r="AV289" s="37"/>
      <c r="AW289" s="36">
        <f t="shared" si="351"/>
        <v>0</v>
      </c>
      <c r="AX289" s="37"/>
      <c r="AY289" s="36">
        <f t="shared" si="352"/>
        <v>0</v>
      </c>
      <c r="AZ289" s="37"/>
      <c r="BA289" s="36">
        <f t="shared" si="353"/>
        <v>0</v>
      </c>
      <c r="BB289" s="37"/>
      <c r="BC289" s="36">
        <f t="shared" si="354"/>
        <v>0</v>
      </c>
      <c r="BD289" s="37"/>
      <c r="BE289" s="36">
        <f t="shared" si="355"/>
        <v>0</v>
      </c>
      <c r="BF289" s="37"/>
      <c r="BG289" s="39">
        <f>(BF289/12*2*$E289*$G289*$I289*$M289*BG$9)+(BF289/12*10*$F289*$G289*$I289*$M289*BG$9)</f>
        <v>0</v>
      </c>
      <c r="BH289" s="60"/>
      <c r="BI289" s="36">
        <f>(BH289/12*2*$E289*$G289*$I289*$M289*BI$9)+(BH289/12*10*$F289*$G289*$I289*$M289*BI$9)</f>
        <v>0</v>
      </c>
      <c r="BJ289" s="37"/>
      <c r="BK289" s="36">
        <f>(BJ289/12*2*$E289*$G289*$I289*$M289*BK$9)+(BJ289/12*10*$F289*$G289*$I289*$M289*BK$9)</f>
        <v>0</v>
      </c>
      <c r="BL289" s="37"/>
      <c r="BM289" s="36">
        <f>(BL289/12*2*$E289*$G289*$I289*$M289*BM$9)+(BL289/12*10*$F289*$G289*$I289*$M289*BM$9)</f>
        <v>0</v>
      </c>
      <c r="BN289" s="37"/>
      <c r="BO289" s="36">
        <f t="shared" si="360"/>
        <v>0</v>
      </c>
      <c r="BP289" s="39"/>
      <c r="BQ289" s="36"/>
      <c r="BR289" s="37"/>
      <c r="BS289" s="36">
        <f t="shared" si="361"/>
        <v>0</v>
      </c>
      <c r="BT289" s="37"/>
      <c r="BU289" s="36">
        <f t="shared" si="362"/>
        <v>0</v>
      </c>
      <c r="BV289" s="36"/>
      <c r="BW289" s="36">
        <f t="shared" si="363"/>
        <v>0</v>
      </c>
      <c r="BX289" s="37"/>
      <c r="BY289" s="36">
        <f t="shared" si="364"/>
        <v>0</v>
      </c>
      <c r="BZ289" s="37"/>
      <c r="CA289" s="36">
        <f t="shared" si="365"/>
        <v>0</v>
      </c>
      <c r="CB289" s="37"/>
      <c r="CC289" s="36">
        <f t="shared" si="366"/>
        <v>0</v>
      </c>
      <c r="CD289" s="37"/>
      <c r="CE289" s="36">
        <f t="shared" si="367"/>
        <v>0</v>
      </c>
      <c r="CF289" s="37"/>
      <c r="CG289" s="36">
        <f t="shared" si="368"/>
        <v>0</v>
      </c>
      <c r="CH289" s="37"/>
      <c r="CI289" s="36">
        <f t="shared" si="369"/>
        <v>0</v>
      </c>
      <c r="CJ289" s="36"/>
      <c r="CK289" s="41">
        <f t="shared" si="370"/>
        <v>0</v>
      </c>
      <c r="CL289" s="41"/>
      <c r="CM289" s="41"/>
      <c r="CN289" s="41"/>
      <c r="CO289" s="41"/>
      <c r="CP289" s="42">
        <f t="shared" si="371"/>
        <v>9</v>
      </c>
      <c r="CQ289" s="42">
        <f t="shared" si="371"/>
        <v>294488.03999999998</v>
      </c>
    </row>
    <row r="290" spans="1:95" s="61" customFormat="1" ht="19.5" hidden="1" customHeight="1" x14ac:dyDescent="0.25">
      <c r="A290" s="151" t="s">
        <v>705</v>
      </c>
      <c r="B290" s="152"/>
      <c r="C290" s="153"/>
      <c r="D290" s="154" t="s">
        <v>693</v>
      </c>
      <c r="E290" s="102"/>
      <c r="F290" s="155"/>
      <c r="G290" s="156"/>
      <c r="H290" s="156"/>
      <c r="I290" s="155"/>
      <c r="J290" s="155"/>
      <c r="K290" s="102"/>
      <c r="L290" s="102"/>
      <c r="M290" s="102"/>
      <c r="N290" s="102"/>
      <c r="O290" s="102"/>
      <c r="P290" s="157">
        <f t="shared" ref="P290:AS290" si="373">P10+P11+P22+P24+P26+P30+P35+P37+P41+P44+P46+P49+P61+P64+P67+P71+P74+P76+P81+P171+P178+P186+P189+P191+P193+P197+P199+P201+P203+P208+P215+P222+P231+P233+P237+P242+P273</f>
        <v>2545</v>
      </c>
      <c r="Q290" s="157">
        <f t="shared" si="373"/>
        <v>142589152.04652396</v>
      </c>
      <c r="R290" s="157">
        <f t="shared" si="373"/>
        <v>208</v>
      </c>
      <c r="S290" s="157">
        <f>S10+S11+S22+S24+S26+S30+S35+S37+S41+S44+S46+S49+S61+S64+S67+S71+S74+S76+S81+S171+S178+S186+S189+S191+S193+S197+S199+S201+S203+S208+S215+S222+S231+S233+S237+S242+S273</f>
        <v>8376555.481933333</v>
      </c>
      <c r="T290" s="157">
        <f t="shared" si="373"/>
        <v>1100</v>
      </c>
      <c r="U290" s="158">
        <f t="shared" si="373"/>
        <v>89056974.127898127</v>
      </c>
      <c r="V290" s="157">
        <f t="shared" si="373"/>
        <v>3326</v>
      </c>
      <c r="W290" s="157">
        <f t="shared" si="373"/>
        <v>612161693.40173244</v>
      </c>
      <c r="X290" s="157">
        <f t="shared" si="373"/>
        <v>1200</v>
      </c>
      <c r="Y290" s="157">
        <f t="shared" si="373"/>
        <v>156463970.20392734</v>
      </c>
      <c r="Z290" s="157">
        <f t="shared" si="373"/>
        <v>172</v>
      </c>
      <c r="AA290" s="157">
        <f t="shared" si="373"/>
        <v>4164939.8989391332</v>
      </c>
      <c r="AB290" s="157">
        <f t="shared" si="373"/>
        <v>237</v>
      </c>
      <c r="AC290" s="157">
        <f t="shared" si="373"/>
        <v>6866478.6166666662</v>
      </c>
      <c r="AD290" s="157">
        <f t="shared" si="373"/>
        <v>362</v>
      </c>
      <c r="AE290" s="157">
        <f t="shared" si="373"/>
        <v>21036489.725163996</v>
      </c>
      <c r="AF290" s="157">
        <f t="shared" si="373"/>
        <v>1102</v>
      </c>
      <c r="AG290" s="157">
        <f t="shared" si="373"/>
        <v>280245007.72866744</v>
      </c>
      <c r="AH290" s="157">
        <f t="shared" si="373"/>
        <v>371</v>
      </c>
      <c r="AI290" s="157">
        <f t="shared" si="373"/>
        <v>8715835.639048025</v>
      </c>
      <c r="AJ290" s="157">
        <v>445</v>
      </c>
      <c r="AK290" s="157">
        <v>11065645.989999998</v>
      </c>
      <c r="AL290" s="157">
        <f t="shared" si="373"/>
        <v>329</v>
      </c>
      <c r="AM290" s="157">
        <f t="shared" si="373"/>
        <v>4412412.466</v>
      </c>
      <c r="AN290" s="157">
        <f t="shared" si="373"/>
        <v>80</v>
      </c>
      <c r="AO290" s="157">
        <f t="shared" si="373"/>
        <v>1601135.6199999999</v>
      </c>
      <c r="AP290" s="157">
        <f t="shared" si="373"/>
        <v>0</v>
      </c>
      <c r="AQ290" s="157">
        <f t="shared" si="373"/>
        <v>0</v>
      </c>
      <c r="AR290" s="157">
        <f t="shared" si="373"/>
        <v>787</v>
      </c>
      <c r="AS290" s="157">
        <f t="shared" si="373"/>
        <v>37168363.899333328</v>
      </c>
      <c r="AT290" s="157">
        <f>AT10+AT11+AT22+AT24+AT26+AT30+AT35+AT37+AT41+AT44+AT46+AT49+AT61+AT64+AT67+AT71+AT74+AT76+AT81+AT171+AT178+AT186+AT189+AT191+AT193+AT197+AT199+AT201+AT203+AT208+AT215+AT222+AT231+AT233+AT237+AT242+AT273</f>
        <v>0</v>
      </c>
      <c r="AU290" s="157">
        <f>AU10+AU11+AU22+AU24+AU26+AU30+AU35+AU37+AU41+AU44+AU46+AU49+AU61+AU64+AU67+AU71+AU74+AU76+AU81+AU171+AU178+AU186+AU189+AU191+AU193+AU197+AU199+AU201+AU203+AU208+AU215+AU222+AU231+AU233+AU237+AU242+AU273</f>
        <v>0</v>
      </c>
      <c r="AV290" s="157">
        <f>AV10+AV11+AV22+AV24+AV26+AV30+AV35+AV37+AV41+AV44+AV46+AV49+AV61+AV64+AV67+AV71+AV74+AV76+AV81+AV171+AV178+AV186+AV189+AV191+AV193+AV197+AV199+AV201+AV203+AV208+AV215+AV222+AV231+AV233+AV237+AV242+AV273</f>
        <v>573</v>
      </c>
      <c r="AW290" s="157">
        <f>AW10+AW11+AW22+AW24+AW26+AW30+AW35+AW37+AW41+AW44+AW46+AW49+AW61+AW64+AW67+AW71+AW74+AW76+AW81+AW171+AW178+AW186+AW189+AW191+AW193+AW197+AW199+AW201+AW203+AW208+AW215+AW222+AW231+AW233+AW237+AW242+AW273</f>
        <v>12543305.676999999</v>
      </c>
      <c r="AX290" s="157">
        <f t="shared" ref="AX290:CM290" si="374">AX10+AX11+AX22+AX24+AX26+AX30+AX35+AX37+AX41+AX44+AX46+AX49+AX61+AX64+AX67+AX71+AX74+AX76+AX81+AX171+AX178+AX186+AX189+AX191+AX193+AX197+AX199+AX201+AX203+AX208+AX215+AX222+AX231+AX233+AX237+AX242+AX273</f>
        <v>691</v>
      </c>
      <c r="AY290" s="157">
        <f t="shared" si="374"/>
        <v>13349398.439999999</v>
      </c>
      <c r="AZ290" s="157">
        <f t="shared" si="374"/>
        <v>44</v>
      </c>
      <c r="BA290" s="157">
        <f t="shared" si="374"/>
        <v>822696.74666666659</v>
      </c>
      <c r="BB290" s="157">
        <f t="shared" si="374"/>
        <v>0</v>
      </c>
      <c r="BC290" s="157">
        <f t="shared" si="374"/>
        <v>0</v>
      </c>
      <c r="BD290" s="157">
        <f t="shared" si="374"/>
        <v>1485</v>
      </c>
      <c r="BE290" s="157">
        <f t="shared" si="374"/>
        <v>28501317.702909335</v>
      </c>
      <c r="BF290" s="157">
        <f t="shared" si="374"/>
        <v>1092</v>
      </c>
      <c r="BG290" s="157">
        <f t="shared" si="374"/>
        <v>42350196.666174926</v>
      </c>
      <c r="BH290" s="157">
        <f t="shared" si="374"/>
        <v>1359</v>
      </c>
      <c r="BI290" s="157">
        <f t="shared" si="374"/>
        <v>38994275.524603151</v>
      </c>
      <c r="BJ290" s="157">
        <f t="shared" si="374"/>
        <v>352</v>
      </c>
      <c r="BK290" s="157">
        <f t="shared" si="374"/>
        <v>9233300.7508000005</v>
      </c>
      <c r="BL290" s="157">
        <f t="shared" si="374"/>
        <v>244</v>
      </c>
      <c r="BM290" s="157">
        <f t="shared" si="374"/>
        <v>16873713.711362801</v>
      </c>
      <c r="BN290" s="157">
        <f t="shared" si="374"/>
        <v>600</v>
      </c>
      <c r="BO290" s="157">
        <f t="shared" si="374"/>
        <v>10002584.443667199</v>
      </c>
      <c r="BP290" s="159">
        <f t="shared" si="374"/>
        <v>0</v>
      </c>
      <c r="BQ290" s="157">
        <f t="shared" si="374"/>
        <v>0</v>
      </c>
      <c r="BR290" s="157">
        <f t="shared" si="374"/>
        <v>760</v>
      </c>
      <c r="BS290" s="157">
        <f t="shared" si="374"/>
        <v>16090827.583600001</v>
      </c>
      <c r="BT290" s="157">
        <f t="shared" si="374"/>
        <v>0</v>
      </c>
      <c r="BU290" s="157">
        <f t="shared" si="374"/>
        <v>0</v>
      </c>
      <c r="BV290" s="157">
        <f t="shared" si="374"/>
        <v>570</v>
      </c>
      <c r="BW290" s="157">
        <f t="shared" si="374"/>
        <v>14134704.792814931</v>
      </c>
      <c r="BX290" s="157">
        <f t="shared" si="374"/>
        <v>244</v>
      </c>
      <c r="BY290" s="157">
        <f t="shared" si="374"/>
        <v>6021445.3449320002</v>
      </c>
      <c r="BZ290" s="157">
        <f t="shared" si="374"/>
        <v>200</v>
      </c>
      <c r="CA290" s="157">
        <f t="shared" si="374"/>
        <v>4806513.7932000002</v>
      </c>
      <c r="CB290" s="157">
        <f t="shared" si="374"/>
        <v>360</v>
      </c>
      <c r="CC290" s="157">
        <f t="shared" si="374"/>
        <v>2708473.3200000003</v>
      </c>
      <c r="CD290" s="157">
        <f t="shared" si="374"/>
        <v>110</v>
      </c>
      <c r="CE290" s="157">
        <f t="shared" si="374"/>
        <v>2772706.6667833333</v>
      </c>
      <c r="CF290" s="157">
        <f t="shared" si="374"/>
        <v>600</v>
      </c>
      <c r="CG290" s="157">
        <f t="shared" si="374"/>
        <v>20291924.069099329</v>
      </c>
      <c r="CH290" s="157">
        <f t="shared" si="374"/>
        <v>344</v>
      </c>
      <c r="CI290" s="157">
        <f t="shared" si="374"/>
        <v>13044515.766717374</v>
      </c>
      <c r="CJ290" s="157">
        <f t="shared" si="374"/>
        <v>140</v>
      </c>
      <c r="CK290" s="157">
        <f t="shared" si="374"/>
        <v>12979910.944</v>
      </c>
      <c r="CL290" s="157">
        <f t="shared" si="374"/>
        <v>5</v>
      </c>
      <c r="CM290" s="157">
        <f t="shared" si="374"/>
        <v>871690.39999999991</v>
      </c>
      <c r="CN290" s="160">
        <f>CN10+CN11+CN22+CN24+CN26+CN30+CN35+CN37+CN41+CN44+CN46+CN49+CN61+CN64+CN67+CN71+CN74+CN76+CN81+CN171+CN178+CN186+CN189+CN191+CN193+CN197+CN199+CN201+CN203+CN208+CN215+CN222+CN231+CN233+CN237+CN242+CN273</f>
        <v>0</v>
      </c>
      <c r="CO290" s="160">
        <f>CO10+CO11+CO22+CO24+CO26+CO30+CO35+CO37+CO41+CO44+CO46+CO49+CO61+CO64+CO67+CO71+CO74+CO76+CO81+CO171+CO178+CO186+CO189+CO191+CO193+CO197+CO199+CO201+CO203+CO208+CO215+CO222+CO231+CO233+CO237+CO242+CO273</f>
        <v>0</v>
      </c>
      <c r="CP290" s="161">
        <f>CP10+CP11+CP22+CP24+CP26+CP30+CP35+CP37+CP41+CP44+CP46+CP49+CP61+CP64+CP67+CP71+CP74+CP76+CP81+CP171+CP178+CP186+CP189+CP191+CP193+CP197+CP199+CP201+CP203+CP208+CP215+CP222+CP231+CP233+CP237+CP242+CP273</f>
        <v>22037</v>
      </c>
      <c r="CQ290" s="161">
        <f>CQ10+CQ11+CQ22+CQ24+CQ26+CQ30+CQ35+CQ37+CQ41+CQ44+CQ46+CQ49+CQ61+CQ64+CQ67+CQ71+CQ74+CQ76+CQ81+CQ171+CQ178+CQ186+CQ189+CQ191+CQ193+CQ197+CQ199+CQ201+CQ203+CQ208+CQ215+CQ222+CQ231+CQ233+CQ237+CQ242+CQ273</f>
        <v>1650318157.1901653</v>
      </c>
    </row>
    <row r="291" spans="1:95" s="61" customFormat="1" ht="19.5" hidden="1" customHeight="1" x14ac:dyDescent="0.25">
      <c r="A291" s="101" t="s">
        <v>694</v>
      </c>
      <c r="B291" s="162"/>
      <c r="C291" s="163"/>
      <c r="D291" s="154" t="s">
        <v>693</v>
      </c>
      <c r="E291" s="102"/>
      <c r="F291" s="102"/>
      <c r="G291" s="103"/>
      <c r="H291" s="103"/>
      <c r="I291" s="102"/>
      <c r="J291" s="102"/>
      <c r="K291" s="102"/>
      <c r="L291" s="102"/>
      <c r="M291" s="102"/>
      <c r="N291" s="102"/>
      <c r="O291" s="102"/>
      <c r="P291" s="164">
        <v>2545</v>
      </c>
      <c r="Q291" s="164">
        <v>142589152.04652396</v>
      </c>
      <c r="R291" s="164">
        <v>208</v>
      </c>
      <c r="S291" s="164">
        <v>8376555.481933333</v>
      </c>
      <c r="T291" s="164">
        <v>1100</v>
      </c>
      <c r="U291" s="165">
        <v>89056974.127898127</v>
      </c>
      <c r="V291" s="164">
        <v>3326</v>
      </c>
      <c r="W291" s="164">
        <v>612161693.40173244</v>
      </c>
      <c r="X291" s="164">
        <v>1200</v>
      </c>
      <c r="Y291" s="164">
        <v>156463970.20392734</v>
      </c>
      <c r="Z291" s="164">
        <v>172</v>
      </c>
      <c r="AA291" s="164">
        <v>4164939.8989391332</v>
      </c>
      <c r="AB291" s="164">
        <v>237</v>
      </c>
      <c r="AC291" s="164">
        <v>6866478.6166666662</v>
      </c>
      <c r="AD291" s="164">
        <v>362</v>
      </c>
      <c r="AE291" s="164">
        <v>21036489.725163996</v>
      </c>
      <c r="AF291" s="164">
        <v>1102</v>
      </c>
      <c r="AG291" s="164">
        <v>280245007.72866744</v>
      </c>
      <c r="AH291" s="164">
        <v>371</v>
      </c>
      <c r="AI291" s="164">
        <v>8715835.639048025</v>
      </c>
      <c r="AJ291" s="164">
        <v>445</v>
      </c>
      <c r="AK291" s="164">
        <v>11065645.989999998</v>
      </c>
      <c r="AL291" s="164">
        <v>329</v>
      </c>
      <c r="AM291" s="164">
        <v>4412412.466</v>
      </c>
      <c r="AN291" s="164">
        <v>80</v>
      </c>
      <c r="AO291" s="164">
        <v>1601135.6199999999</v>
      </c>
      <c r="AP291" s="164">
        <v>0</v>
      </c>
      <c r="AQ291" s="164">
        <v>0</v>
      </c>
      <c r="AR291" s="164">
        <v>787</v>
      </c>
      <c r="AS291" s="164">
        <v>37168363.899333328</v>
      </c>
      <c r="AT291" s="164">
        <v>0</v>
      </c>
      <c r="AU291" s="164">
        <v>0</v>
      </c>
      <c r="AV291" s="164">
        <v>573</v>
      </c>
      <c r="AW291" s="164">
        <v>12543305.676999999</v>
      </c>
      <c r="AX291" s="164">
        <v>691</v>
      </c>
      <c r="AY291" s="164">
        <v>13349398.439999999</v>
      </c>
      <c r="AZ291" s="164">
        <v>44</v>
      </c>
      <c r="BA291" s="164">
        <v>822696.74666666659</v>
      </c>
      <c r="BB291" s="164">
        <v>0</v>
      </c>
      <c r="BC291" s="164">
        <v>0</v>
      </c>
      <c r="BD291" s="164">
        <v>1485</v>
      </c>
      <c r="BE291" s="164">
        <v>28501317.702909335</v>
      </c>
      <c r="BF291" s="164">
        <v>1092</v>
      </c>
      <c r="BG291" s="164">
        <v>42350196.666174926</v>
      </c>
      <c r="BH291" s="164">
        <v>1359</v>
      </c>
      <c r="BI291" s="164">
        <v>38994275.524603151</v>
      </c>
      <c r="BJ291" s="164">
        <v>352</v>
      </c>
      <c r="BK291" s="164">
        <v>9233300.7508000005</v>
      </c>
      <c r="BL291" s="164">
        <v>244</v>
      </c>
      <c r="BM291" s="164">
        <v>16873713.711362801</v>
      </c>
      <c r="BN291" s="164">
        <v>600</v>
      </c>
      <c r="BO291" s="164">
        <v>10002584.443667199</v>
      </c>
      <c r="BP291" s="166">
        <v>0</v>
      </c>
      <c r="BQ291" s="164">
        <v>0</v>
      </c>
      <c r="BR291" s="164">
        <v>760</v>
      </c>
      <c r="BS291" s="164">
        <v>16090827.583600001</v>
      </c>
      <c r="BT291" s="164">
        <v>0</v>
      </c>
      <c r="BU291" s="164">
        <v>0</v>
      </c>
      <c r="BV291" s="164">
        <v>570</v>
      </c>
      <c r="BW291" s="164">
        <v>14134704.792814931</v>
      </c>
      <c r="BX291" s="164">
        <v>244</v>
      </c>
      <c r="BY291" s="164">
        <v>6021445.3449320002</v>
      </c>
      <c r="BZ291" s="164">
        <v>200</v>
      </c>
      <c r="CA291" s="164">
        <v>4806513.7932000002</v>
      </c>
      <c r="CB291" s="164">
        <v>360</v>
      </c>
      <c r="CC291" s="164">
        <v>2708473.3200000003</v>
      </c>
      <c r="CD291" s="164">
        <v>110</v>
      </c>
      <c r="CE291" s="164">
        <v>2772706.6667833333</v>
      </c>
      <c r="CF291" s="164">
        <v>600</v>
      </c>
      <c r="CG291" s="164">
        <v>20291924.069099329</v>
      </c>
      <c r="CH291" s="164">
        <v>344</v>
      </c>
      <c r="CI291" s="164">
        <v>13044515.766717374</v>
      </c>
      <c r="CJ291" s="164">
        <v>140</v>
      </c>
      <c r="CK291" s="164">
        <v>12979910.944</v>
      </c>
      <c r="CL291" s="164">
        <v>5</v>
      </c>
      <c r="CM291" s="164">
        <v>871690.39999999991</v>
      </c>
      <c r="CN291" s="167">
        <v>0</v>
      </c>
      <c r="CO291" s="167">
        <v>0</v>
      </c>
      <c r="CP291" s="168">
        <v>22037</v>
      </c>
      <c r="CQ291" s="168">
        <v>1650318157.1901653</v>
      </c>
    </row>
    <row r="292" spans="1:95" s="61" customFormat="1" ht="19.5" hidden="1" customHeight="1" x14ac:dyDescent="0.25">
      <c r="A292" s="101" t="s">
        <v>695</v>
      </c>
      <c r="B292" s="162"/>
      <c r="C292" s="163"/>
      <c r="D292" s="154" t="s">
        <v>693</v>
      </c>
      <c r="E292" s="102"/>
      <c r="F292" s="102"/>
      <c r="G292" s="103"/>
      <c r="H292" s="103"/>
      <c r="I292" s="102"/>
      <c r="J292" s="102"/>
      <c r="K292" s="102"/>
      <c r="L292" s="102"/>
      <c r="M292" s="102"/>
      <c r="N292" s="102"/>
      <c r="O292" s="102"/>
      <c r="P292" s="164">
        <v>2545</v>
      </c>
      <c r="Q292" s="164">
        <v>142589152.04652396</v>
      </c>
      <c r="R292" s="164">
        <v>208</v>
      </c>
      <c r="S292" s="164">
        <v>8376555.481933333</v>
      </c>
      <c r="T292" s="164">
        <v>1100</v>
      </c>
      <c r="U292" s="165">
        <v>89056974.127898127</v>
      </c>
      <c r="V292" s="164">
        <v>3326</v>
      </c>
      <c r="W292" s="164">
        <v>612161693.40173244</v>
      </c>
      <c r="X292" s="164">
        <v>1200</v>
      </c>
      <c r="Y292" s="164">
        <v>156463970.20392734</v>
      </c>
      <c r="Z292" s="164">
        <v>172</v>
      </c>
      <c r="AA292" s="164">
        <v>4164939.8989391332</v>
      </c>
      <c r="AB292" s="164">
        <v>237</v>
      </c>
      <c r="AC292" s="164">
        <v>6866478.6166666662</v>
      </c>
      <c r="AD292" s="164">
        <v>362</v>
      </c>
      <c r="AE292" s="164">
        <v>21036489.725163996</v>
      </c>
      <c r="AF292" s="164">
        <v>1102</v>
      </c>
      <c r="AG292" s="164">
        <v>280245007.72866744</v>
      </c>
      <c r="AH292" s="164">
        <v>371</v>
      </c>
      <c r="AI292" s="164">
        <v>8715835.639048025</v>
      </c>
      <c r="AJ292" s="164">
        <v>445</v>
      </c>
      <c r="AK292" s="164">
        <v>11065645.989999998</v>
      </c>
      <c r="AL292" s="164">
        <v>329</v>
      </c>
      <c r="AM292" s="164">
        <v>4412412.466</v>
      </c>
      <c r="AN292" s="164">
        <v>80</v>
      </c>
      <c r="AO292" s="164">
        <v>1601135.6199999999</v>
      </c>
      <c r="AP292" s="164">
        <v>0</v>
      </c>
      <c r="AQ292" s="164">
        <v>0</v>
      </c>
      <c r="AR292" s="164">
        <v>787</v>
      </c>
      <c r="AS292" s="164">
        <v>37168363.899333328</v>
      </c>
      <c r="AT292" s="164">
        <v>0</v>
      </c>
      <c r="AU292" s="164">
        <v>0</v>
      </c>
      <c r="AV292" s="164">
        <v>573</v>
      </c>
      <c r="AW292" s="164">
        <v>12543305.676999999</v>
      </c>
      <c r="AX292" s="164">
        <v>691</v>
      </c>
      <c r="AY292" s="164">
        <v>13349398.439999999</v>
      </c>
      <c r="AZ292" s="164">
        <v>44</v>
      </c>
      <c r="BA292" s="164">
        <v>822696.74666666659</v>
      </c>
      <c r="BB292" s="164">
        <v>0</v>
      </c>
      <c r="BC292" s="164">
        <v>0</v>
      </c>
      <c r="BD292" s="164">
        <v>1485</v>
      </c>
      <c r="BE292" s="164">
        <v>28501317.702909335</v>
      </c>
      <c r="BF292" s="164">
        <v>1092</v>
      </c>
      <c r="BG292" s="164">
        <v>42350196.666174926</v>
      </c>
      <c r="BH292" s="164">
        <v>1359</v>
      </c>
      <c r="BI292" s="164">
        <v>38994275.524603151</v>
      </c>
      <c r="BJ292" s="164">
        <v>352</v>
      </c>
      <c r="BK292" s="164">
        <v>9233300.7508000005</v>
      </c>
      <c r="BL292" s="164">
        <v>244</v>
      </c>
      <c r="BM292" s="164">
        <v>16873713.711362801</v>
      </c>
      <c r="BN292" s="164">
        <v>600</v>
      </c>
      <c r="BO292" s="164">
        <v>10002584.443667199</v>
      </c>
      <c r="BP292" s="166">
        <v>0</v>
      </c>
      <c r="BQ292" s="164">
        <v>0</v>
      </c>
      <c r="BR292" s="164">
        <v>760</v>
      </c>
      <c r="BS292" s="164">
        <v>16090827.583600001</v>
      </c>
      <c r="BT292" s="164">
        <v>0</v>
      </c>
      <c r="BU292" s="164">
        <v>0</v>
      </c>
      <c r="BV292" s="164">
        <v>570</v>
      </c>
      <c r="BW292" s="164">
        <v>14134704.792814931</v>
      </c>
      <c r="BX292" s="164">
        <v>244</v>
      </c>
      <c r="BY292" s="164">
        <v>6021445.3449320002</v>
      </c>
      <c r="BZ292" s="164">
        <v>200</v>
      </c>
      <c r="CA292" s="164">
        <v>4806513.7932000002</v>
      </c>
      <c r="CB292" s="164">
        <v>360</v>
      </c>
      <c r="CC292" s="164">
        <v>2708473.3200000003</v>
      </c>
      <c r="CD292" s="164">
        <v>110</v>
      </c>
      <c r="CE292" s="164">
        <v>2772706.6667833333</v>
      </c>
      <c r="CF292" s="164">
        <v>600</v>
      </c>
      <c r="CG292" s="164">
        <v>20291924.069099329</v>
      </c>
      <c r="CH292" s="164">
        <v>344</v>
      </c>
      <c r="CI292" s="164">
        <v>13044515.766717374</v>
      </c>
      <c r="CJ292" s="164">
        <v>140</v>
      </c>
      <c r="CK292" s="164">
        <v>12979910.944</v>
      </c>
      <c r="CL292" s="164">
        <v>5</v>
      </c>
      <c r="CM292" s="164">
        <v>871690.39999999991</v>
      </c>
      <c r="CN292" s="167">
        <v>0</v>
      </c>
      <c r="CO292" s="167">
        <v>0</v>
      </c>
      <c r="CP292" s="168">
        <v>22037</v>
      </c>
      <c r="CQ292" s="168">
        <v>1650318157.1901653</v>
      </c>
    </row>
    <row r="293" spans="1:95" s="61" customFormat="1" ht="19.5" hidden="1" customHeight="1" x14ac:dyDescent="0.25">
      <c r="A293" s="101" t="s">
        <v>696</v>
      </c>
      <c r="B293" s="162"/>
      <c r="C293" s="163"/>
      <c r="D293" s="154" t="s">
        <v>693</v>
      </c>
      <c r="E293" s="102"/>
      <c r="F293" s="102"/>
      <c r="G293" s="103"/>
      <c r="H293" s="103"/>
      <c r="I293" s="102"/>
      <c r="J293" s="102"/>
      <c r="K293" s="102"/>
      <c r="L293" s="102"/>
      <c r="M293" s="102"/>
      <c r="N293" s="102"/>
      <c r="O293" s="102"/>
      <c r="P293" s="164">
        <v>2709</v>
      </c>
      <c r="Q293" s="164">
        <v>139315984.36399436</v>
      </c>
      <c r="R293" s="164">
        <v>208</v>
      </c>
      <c r="S293" s="164">
        <v>8117183.6620000005</v>
      </c>
      <c r="T293" s="164">
        <v>1090</v>
      </c>
      <c r="U293" s="165">
        <v>88884020.83456479</v>
      </c>
      <c r="V293" s="164">
        <v>3326</v>
      </c>
      <c r="W293" s="164">
        <v>612161693.40173244</v>
      </c>
      <c r="X293" s="164">
        <v>1200</v>
      </c>
      <c r="Y293" s="164">
        <v>156463970.20392734</v>
      </c>
      <c r="Z293" s="164">
        <v>172</v>
      </c>
      <c r="AA293" s="164">
        <v>4197810.0568882991</v>
      </c>
      <c r="AB293" s="164">
        <v>237</v>
      </c>
      <c r="AC293" s="164">
        <v>6866478.6166666662</v>
      </c>
      <c r="AD293" s="164">
        <v>362</v>
      </c>
      <c r="AE293" s="164">
        <v>21036489.725163996</v>
      </c>
      <c r="AF293" s="164">
        <v>1102</v>
      </c>
      <c r="AG293" s="164">
        <v>280245007.72866744</v>
      </c>
      <c r="AH293" s="164">
        <v>371</v>
      </c>
      <c r="AI293" s="164">
        <v>8715835.639048025</v>
      </c>
      <c r="AJ293" s="164">
        <v>445</v>
      </c>
      <c r="AK293" s="164">
        <v>11065645.989999998</v>
      </c>
      <c r="AL293" s="164">
        <v>329</v>
      </c>
      <c r="AM293" s="164">
        <v>4412412.466</v>
      </c>
      <c r="AN293" s="164">
        <v>130</v>
      </c>
      <c r="AO293" s="164">
        <v>2608705.1199999996</v>
      </c>
      <c r="AP293" s="164">
        <v>0</v>
      </c>
      <c r="AQ293" s="164">
        <v>0</v>
      </c>
      <c r="AR293" s="164">
        <v>787</v>
      </c>
      <c r="AS293" s="164">
        <v>37168363.899333328</v>
      </c>
      <c r="AT293" s="164">
        <v>0</v>
      </c>
      <c r="AU293" s="164">
        <v>0</v>
      </c>
      <c r="AV293" s="164">
        <v>573</v>
      </c>
      <c r="AW293" s="164">
        <v>12543305.676999999</v>
      </c>
      <c r="AX293" s="164">
        <v>691</v>
      </c>
      <c r="AY293" s="164">
        <v>13349398.439999999</v>
      </c>
      <c r="AZ293" s="164">
        <v>44</v>
      </c>
      <c r="BA293" s="164">
        <v>822696.74666666659</v>
      </c>
      <c r="BB293" s="164">
        <v>0</v>
      </c>
      <c r="BC293" s="164">
        <v>0</v>
      </c>
      <c r="BD293" s="164">
        <v>1485</v>
      </c>
      <c r="BE293" s="164">
        <v>28501317.702909335</v>
      </c>
      <c r="BF293" s="164">
        <v>1092</v>
      </c>
      <c r="BG293" s="164">
        <v>42350196.666174926</v>
      </c>
      <c r="BH293" s="164">
        <v>1359</v>
      </c>
      <c r="BI293" s="164">
        <v>38994275.524603151</v>
      </c>
      <c r="BJ293" s="164">
        <v>396</v>
      </c>
      <c r="BK293" s="164">
        <v>11224923.136</v>
      </c>
      <c r="BL293" s="164">
        <v>244</v>
      </c>
      <c r="BM293" s="164">
        <v>16873713.711362801</v>
      </c>
      <c r="BN293" s="164">
        <v>600</v>
      </c>
      <c r="BO293" s="164">
        <v>10002584.443667199</v>
      </c>
      <c r="BP293" s="166">
        <v>0</v>
      </c>
      <c r="BQ293" s="164">
        <v>0</v>
      </c>
      <c r="BR293" s="164">
        <v>760</v>
      </c>
      <c r="BS293" s="164">
        <v>16090827.583600001</v>
      </c>
      <c r="BT293" s="164">
        <v>0</v>
      </c>
      <c r="BU293" s="164">
        <v>0</v>
      </c>
      <c r="BV293" s="164">
        <v>570</v>
      </c>
      <c r="BW293" s="164">
        <v>14134704.792814931</v>
      </c>
      <c r="BX293" s="164">
        <v>244</v>
      </c>
      <c r="BY293" s="164">
        <v>6021445.3449320002</v>
      </c>
      <c r="BZ293" s="164">
        <v>200</v>
      </c>
      <c r="CA293" s="164">
        <v>4806513.7932000002</v>
      </c>
      <c r="CB293" s="164">
        <v>360</v>
      </c>
      <c r="CC293" s="164">
        <v>2708473.3200000003</v>
      </c>
      <c r="CD293" s="164">
        <v>110</v>
      </c>
      <c r="CE293" s="164">
        <v>2772706.6667833333</v>
      </c>
      <c r="CF293" s="164">
        <v>600</v>
      </c>
      <c r="CG293" s="164">
        <v>20291924.069099329</v>
      </c>
      <c r="CH293" s="164">
        <v>344</v>
      </c>
      <c r="CI293" s="164">
        <v>13044515.766717374</v>
      </c>
      <c r="CJ293" s="164">
        <v>140</v>
      </c>
      <c r="CK293" s="164">
        <v>12979910.944</v>
      </c>
      <c r="CL293" s="164">
        <v>5</v>
      </c>
      <c r="CM293" s="164">
        <v>871690.39999999991</v>
      </c>
      <c r="CN293" s="167">
        <v>0</v>
      </c>
      <c r="CO293" s="167">
        <v>0</v>
      </c>
      <c r="CP293" s="168">
        <v>22285</v>
      </c>
      <c r="CQ293" s="168">
        <v>1649644726.4375184</v>
      </c>
    </row>
    <row r="294" spans="1:95" s="61" customFormat="1" ht="19.5" hidden="1" customHeight="1" x14ac:dyDescent="0.25">
      <c r="A294" s="101" t="s">
        <v>697</v>
      </c>
      <c r="B294" s="162"/>
      <c r="C294" s="163"/>
      <c r="D294" s="154" t="s">
        <v>693</v>
      </c>
      <c r="E294" s="102"/>
      <c r="F294" s="102"/>
      <c r="G294" s="103"/>
      <c r="H294" s="103"/>
      <c r="I294" s="102"/>
      <c r="J294" s="102"/>
      <c r="K294" s="102"/>
      <c r="L294" s="102"/>
      <c r="M294" s="102"/>
      <c r="N294" s="102"/>
      <c r="O294" s="102"/>
      <c r="P294" s="164">
        <v>2709</v>
      </c>
      <c r="Q294" s="164">
        <v>139474664.99063224</v>
      </c>
      <c r="R294" s="164">
        <v>208</v>
      </c>
      <c r="S294" s="164">
        <v>8117183.6620000005</v>
      </c>
      <c r="T294" s="164">
        <v>1090</v>
      </c>
      <c r="U294" s="165">
        <v>83077836.617999986</v>
      </c>
      <c r="V294" s="164">
        <v>3326</v>
      </c>
      <c r="W294" s="164">
        <v>612161693.40173244</v>
      </c>
      <c r="X294" s="164">
        <v>1200</v>
      </c>
      <c r="Y294" s="164">
        <v>156463970.20392734</v>
      </c>
      <c r="Z294" s="164">
        <v>172</v>
      </c>
      <c r="AA294" s="164">
        <v>4197810.0568882991</v>
      </c>
      <c r="AB294" s="164">
        <v>237</v>
      </c>
      <c r="AC294" s="164">
        <v>6866478.6166666662</v>
      </c>
      <c r="AD294" s="164">
        <v>362</v>
      </c>
      <c r="AE294" s="164">
        <v>21036489.725163996</v>
      </c>
      <c r="AF294" s="164">
        <v>1102</v>
      </c>
      <c r="AG294" s="164">
        <v>280245007.72866744</v>
      </c>
      <c r="AH294" s="164">
        <v>371</v>
      </c>
      <c r="AI294" s="164">
        <v>8715835.639048025</v>
      </c>
      <c r="AJ294" s="164">
        <v>445</v>
      </c>
      <c r="AK294" s="164">
        <v>11065645.989999998</v>
      </c>
      <c r="AL294" s="164">
        <v>329</v>
      </c>
      <c r="AM294" s="164">
        <v>4412412.466</v>
      </c>
      <c r="AN294" s="164">
        <v>130</v>
      </c>
      <c r="AO294" s="164">
        <v>2608705.1199999996</v>
      </c>
      <c r="AP294" s="164">
        <v>0</v>
      </c>
      <c r="AQ294" s="164">
        <v>0</v>
      </c>
      <c r="AR294" s="164">
        <v>787</v>
      </c>
      <c r="AS294" s="164">
        <v>37168363.899333328</v>
      </c>
      <c r="AT294" s="164">
        <v>0</v>
      </c>
      <c r="AU294" s="164">
        <v>0</v>
      </c>
      <c r="AV294" s="164">
        <v>573</v>
      </c>
      <c r="AW294" s="164">
        <v>12543305.676999999</v>
      </c>
      <c r="AX294" s="164">
        <v>691</v>
      </c>
      <c r="AY294" s="164">
        <v>13349398.439999999</v>
      </c>
      <c r="AZ294" s="164">
        <v>44</v>
      </c>
      <c r="BA294" s="164">
        <v>822696.74666666659</v>
      </c>
      <c r="BB294" s="164">
        <v>0</v>
      </c>
      <c r="BC294" s="164">
        <v>0</v>
      </c>
      <c r="BD294" s="164">
        <v>1485</v>
      </c>
      <c r="BE294" s="164">
        <v>28501317.702909335</v>
      </c>
      <c r="BF294" s="164">
        <v>1326</v>
      </c>
      <c r="BG294" s="164">
        <v>49853695.667774923</v>
      </c>
      <c r="BH294" s="164">
        <v>1359</v>
      </c>
      <c r="BI294" s="164">
        <v>38994275.524603151</v>
      </c>
      <c r="BJ294" s="164">
        <v>396</v>
      </c>
      <c r="BK294" s="164">
        <v>11224923.136</v>
      </c>
      <c r="BL294" s="164">
        <v>244</v>
      </c>
      <c r="BM294" s="164">
        <v>16873713.711362801</v>
      </c>
      <c r="BN294" s="164">
        <v>600</v>
      </c>
      <c r="BO294" s="164">
        <v>10002584.443667199</v>
      </c>
      <c r="BP294" s="166">
        <v>0</v>
      </c>
      <c r="BQ294" s="164">
        <v>0</v>
      </c>
      <c r="BR294" s="164">
        <v>760</v>
      </c>
      <c r="BS294" s="164">
        <v>16090827.583600001</v>
      </c>
      <c r="BT294" s="164">
        <v>0</v>
      </c>
      <c r="BU294" s="164">
        <v>0</v>
      </c>
      <c r="BV294" s="164">
        <v>570</v>
      </c>
      <c r="BW294" s="164">
        <v>14134704.792814931</v>
      </c>
      <c r="BX294" s="164">
        <v>244</v>
      </c>
      <c r="BY294" s="164">
        <v>6021445.3449320002</v>
      </c>
      <c r="BZ294" s="164">
        <v>200</v>
      </c>
      <c r="CA294" s="164">
        <v>4806513.7932000002</v>
      </c>
      <c r="CB294" s="164">
        <v>360</v>
      </c>
      <c r="CC294" s="164">
        <v>2708473.3200000003</v>
      </c>
      <c r="CD294" s="164">
        <v>110</v>
      </c>
      <c r="CE294" s="164">
        <v>2772706.6667833333</v>
      </c>
      <c r="CF294" s="164">
        <v>600</v>
      </c>
      <c r="CG294" s="164">
        <v>20291924.069099329</v>
      </c>
      <c r="CH294" s="164">
        <v>344</v>
      </c>
      <c r="CI294" s="164">
        <v>13044515.766717374</v>
      </c>
      <c r="CJ294" s="164">
        <v>140</v>
      </c>
      <c r="CK294" s="164">
        <v>12979910.944</v>
      </c>
      <c r="CL294" s="164">
        <v>5</v>
      </c>
      <c r="CM294" s="164">
        <v>871690.39999999991</v>
      </c>
      <c r="CN294" s="167">
        <v>0</v>
      </c>
      <c r="CO294" s="167">
        <v>0</v>
      </c>
      <c r="CP294" s="168">
        <v>22519</v>
      </c>
      <c r="CQ294" s="168">
        <v>1651500721.8491912</v>
      </c>
    </row>
    <row r="295" spans="1:95" s="61" customFormat="1" ht="19.5" hidden="1" customHeight="1" x14ac:dyDescent="0.25">
      <c r="A295" s="101" t="s">
        <v>698</v>
      </c>
      <c r="B295" s="162"/>
      <c r="C295" s="163"/>
      <c r="D295" s="154" t="s">
        <v>693</v>
      </c>
      <c r="E295" s="102"/>
      <c r="F295" s="102"/>
      <c r="G295" s="103"/>
      <c r="H295" s="103"/>
      <c r="I295" s="102"/>
      <c r="J295" s="102"/>
      <c r="K295" s="102"/>
      <c r="L295" s="102"/>
      <c r="M295" s="102"/>
      <c r="N295" s="102"/>
      <c r="O295" s="102"/>
      <c r="P295" s="164">
        <v>2709</v>
      </c>
      <c r="Q295" s="164">
        <v>139474664.99063224</v>
      </c>
      <c r="R295" s="164">
        <v>208</v>
      </c>
      <c r="S295" s="164">
        <v>8117183.6620000005</v>
      </c>
      <c r="T295" s="164">
        <v>1090</v>
      </c>
      <c r="U295" s="165">
        <v>83077836.617999986</v>
      </c>
      <c r="V295" s="164">
        <v>3210</v>
      </c>
      <c r="W295" s="164">
        <v>597165830.8093493</v>
      </c>
      <c r="X295" s="164">
        <v>1200</v>
      </c>
      <c r="Y295" s="164">
        <v>156463970.20392734</v>
      </c>
      <c r="Z295" s="164">
        <v>172</v>
      </c>
      <c r="AA295" s="164">
        <v>4197810.0568882991</v>
      </c>
      <c r="AB295" s="164">
        <v>237</v>
      </c>
      <c r="AC295" s="164">
        <v>6866478.6166666662</v>
      </c>
      <c r="AD295" s="164">
        <v>362</v>
      </c>
      <c r="AE295" s="164">
        <v>21036489.725163996</v>
      </c>
      <c r="AF295" s="164">
        <v>1102</v>
      </c>
      <c r="AG295" s="164">
        <v>280245007.72866744</v>
      </c>
      <c r="AH295" s="164">
        <v>789</v>
      </c>
      <c r="AI295" s="164">
        <v>18772403.625480667</v>
      </c>
      <c r="AJ295" s="164"/>
      <c r="AK295" s="164"/>
      <c r="AL295" s="164">
        <v>329</v>
      </c>
      <c r="AM295" s="164">
        <v>4412412.466</v>
      </c>
      <c r="AN295" s="164">
        <v>130</v>
      </c>
      <c r="AO295" s="164">
        <v>2608705.1199999996</v>
      </c>
      <c r="AP295" s="164">
        <v>0</v>
      </c>
      <c r="AQ295" s="164">
        <v>0</v>
      </c>
      <c r="AR295" s="164">
        <v>787</v>
      </c>
      <c r="AS295" s="164">
        <v>37168363.899333328</v>
      </c>
      <c r="AT295" s="164">
        <v>0</v>
      </c>
      <c r="AU295" s="164">
        <v>0</v>
      </c>
      <c r="AV295" s="164">
        <v>573</v>
      </c>
      <c r="AW295" s="164">
        <v>12543305.676999999</v>
      </c>
      <c r="AX295" s="164">
        <v>691</v>
      </c>
      <c r="AY295" s="164">
        <v>13349398.439999999</v>
      </c>
      <c r="AZ295" s="164">
        <v>44</v>
      </c>
      <c r="BA295" s="164">
        <v>822696.74666666659</v>
      </c>
      <c r="BB295" s="164">
        <v>0</v>
      </c>
      <c r="BC295" s="164">
        <v>0</v>
      </c>
      <c r="BD295" s="164">
        <v>1485</v>
      </c>
      <c r="BE295" s="164">
        <v>28501317.702909335</v>
      </c>
      <c r="BF295" s="164">
        <v>1326</v>
      </c>
      <c r="BG295" s="164">
        <v>49853695.667774923</v>
      </c>
      <c r="BH295" s="164">
        <v>1359</v>
      </c>
      <c r="BI295" s="164">
        <v>38994275.524603151</v>
      </c>
      <c r="BJ295" s="164">
        <v>396</v>
      </c>
      <c r="BK295" s="164">
        <v>11224923.136</v>
      </c>
      <c r="BL295" s="164">
        <v>262</v>
      </c>
      <c r="BM295" s="164">
        <v>17603382.333933599</v>
      </c>
      <c r="BN295" s="164">
        <v>600</v>
      </c>
      <c r="BO295" s="164">
        <v>10002584.443667199</v>
      </c>
      <c r="BP295" s="166">
        <v>0</v>
      </c>
      <c r="BQ295" s="164">
        <v>0</v>
      </c>
      <c r="BR295" s="164">
        <v>760</v>
      </c>
      <c r="BS295" s="164">
        <v>16090827.583600001</v>
      </c>
      <c r="BT295" s="164">
        <v>0</v>
      </c>
      <c r="BU295" s="164">
        <v>0</v>
      </c>
      <c r="BV295" s="164">
        <v>570</v>
      </c>
      <c r="BW295" s="164">
        <v>14134704.792814931</v>
      </c>
      <c r="BX295" s="164">
        <v>244</v>
      </c>
      <c r="BY295" s="164">
        <v>6021445.3449320002</v>
      </c>
      <c r="BZ295" s="164">
        <v>200</v>
      </c>
      <c r="CA295" s="164">
        <v>4806513.7932000002</v>
      </c>
      <c r="CB295" s="164">
        <v>360</v>
      </c>
      <c r="CC295" s="164">
        <v>2708473.3200000003</v>
      </c>
      <c r="CD295" s="164">
        <v>110</v>
      </c>
      <c r="CE295" s="164">
        <v>2772706.6667833333</v>
      </c>
      <c r="CF295" s="164">
        <v>600</v>
      </c>
      <c r="CG295" s="164">
        <v>20291924.069099329</v>
      </c>
      <c r="CH295" s="164">
        <v>344</v>
      </c>
      <c r="CI295" s="164">
        <v>13044515.766717374</v>
      </c>
      <c r="CJ295" s="164">
        <v>140</v>
      </c>
      <c r="CK295" s="164">
        <v>12979910.944</v>
      </c>
      <c r="CL295" s="164"/>
      <c r="CM295" s="164"/>
      <c r="CN295" s="167">
        <v>0</v>
      </c>
      <c r="CO295" s="167">
        <v>0</v>
      </c>
      <c r="CP295" s="168">
        <v>22389</v>
      </c>
      <c r="CQ295" s="168">
        <v>1635353759.4758108</v>
      </c>
    </row>
    <row r="296" spans="1:95" s="61" customFormat="1" ht="19.5" hidden="1" customHeight="1" x14ac:dyDescent="0.25">
      <c r="A296" s="101" t="s">
        <v>699</v>
      </c>
      <c r="B296" s="162"/>
      <c r="C296" s="163"/>
      <c r="D296" s="154" t="s">
        <v>693</v>
      </c>
      <c r="E296" s="102"/>
      <c r="F296" s="102"/>
      <c r="G296" s="103"/>
      <c r="H296" s="103"/>
      <c r="I296" s="102"/>
      <c r="J296" s="102"/>
      <c r="K296" s="102"/>
      <c r="L296" s="102"/>
      <c r="M296" s="102"/>
      <c r="N296" s="102"/>
      <c r="O296" s="102"/>
      <c r="P296" s="164">
        <v>2709</v>
      </c>
      <c r="Q296" s="164">
        <v>139474664.99063224</v>
      </c>
      <c r="R296" s="164">
        <v>208</v>
      </c>
      <c r="S296" s="164">
        <v>8117183.6620000005</v>
      </c>
      <c r="T296" s="164">
        <v>1090</v>
      </c>
      <c r="U296" s="165">
        <v>83077836.617999986</v>
      </c>
      <c r="V296" s="164">
        <v>3210</v>
      </c>
      <c r="W296" s="164">
        <v>597165830.8093493</v>
      </c>
      <c r="X296" s="164">
        <v>1200</v>
      </c>
      <c r="Y296" s="164">
        <v>156463970.20392734</v>
      </c>
      <c r="Z296" s="164">
        <v>172</v>
      </c>
      <c r="AA296" s="164">
        <v>4197810.0568882991</v>
      </c>
      <c r="AB296" s="164">
        <v>237</v>
      </c>
      <c r="AC296" s="164">
        <v>6866478.6166666662</v>
      </c>
      <c r="AD296" s="164">
        <v>362</v>
      </c>
      <c r="AE296" s="164">
        <v>21036489.725163996</v>
      </c>
      <c r="AF296" s="164">
        <v>1102</v>
      </c>
      <c r="AG296" s="164">
        <v>280245007.72866744</v>
      </c>
      <c r="AH296" s="164">
        <v>789</v>
      </c>
      <c r="AI296" s="164">
        <v>18772403.625480667</v>
      </c>
      <c r="AJ296" s="164"/>
      <c r="AK296" s="164"/>
      <c r="AL296" s="164">
        <v>509</v>
      </c>
      <c r="AM296" s="164">
        <v>6276101.0619999999</v>
      </c>
      <c r="AN296" s="164">
        <v>130</v>
      </c>
      <c r="AO296" s="164">
        <v>2608705.1199999996</v>
      </c>
      <c r="AP296" s="164">
        <v>0</v>
      </c>
      <c r="AQ296" s="164">
        <v>0</v>
      </c>
      <c r="AR296" s="164">
        <v>787</v>
      </c>
      <c r="AS296" s="164">
        <v>37168363.899333328</v>
      </c>
      <c r="AT296" s="164">
        <v>0</v>
      </c>
      <c r="AU296" s="164">
        <v>0</v>
      </c>
      <c r="AV296" s="164">
        <v>573</v>
      </c>
      <c r="AW296" s="164">
        <v>12543305.676999999</v>
      </c>
      <c r="AX296" s="164">
        <v>691</v>
      </c>
      <c r="AY296" s="164">
        <v>13349398.439999999</v>
      </c>
      <c r="AZ296" s="164">
        <v>44</v>
      </c>
      <c r="BA296" s="164">
        <v>822696.74666666659</v>
      </c>
      <c r="BB296" s="164">
        <v>0</v>
      </c>
      <c r="BC296" s="164">
        <v>0</v>
      </c>
      <c r="BD296" s="164">
        <v>1485</v>
      </c>
      <c r="BE296" s="164">
        <v>28501317.702909335</v>
      </c>
      <c r="BF296" s="164">
        <v>1326</v>
      </c>
      <c r="BG296" s="164">
        <v>49853695.667774923</v>
      </c>
      <c r="BH296" s="164">
        <v>1359</v>
      </c>
      <c r="BI296" s="164">
        <v>38994275.524603151</v>
      </c>
      <c r="BJ296" s="164">
        <v>396</v>
      </c>
      <c r="BK296" s="164">
        <v>11224923.136</v>
      </c>
      <c r="BL296" s="164">
        <v>262</v>
      </c>
      <c r="BM296" s="164">
        <v>17603382.333933599</v>
      </c>
      <c r="BN296" s="164">
        <v>600</v>
      </c>
      <c r="BO296" s="164">
        <v>10002584.443667199</v>
      </c>
      <c r="BP296" s="166">
        <v>0</v>
      </c>
      <c r="BQ296" s="164">
        <v>0</v>
      </c>
      <c r="BR296" s="164">
        <v>760</v>
      </c>
      <c r="BS296" s="164">
        <v>16090827.583600001</v>
      </c>
      <c r="BT296" s="164">
        <v>0</v>
      </c>
      <c r="BU296" s="164">
        <v>0</v>
      </c>
      <c r="BV296" s="164">
        <v>570</v>
      </c>
      <c r="BW296" s="164">
        <v>14134704.792814931</v>
      </c>
      <c r="BX296" s="164">
        <v>244</v>
      </c>
      <c r="BY296" s="164">
        <v>6021445.3449320002</v>
      </c>
      <c r="BZ296" s="164">
        <v>200</v>
      </c>
      <c r="CA296" s="164">
        <v>4806513.7932000002</v>
      </c>
      <c r="CB296" s="164">
        <v>360</v>
      </c>
      <c r="CC296" s="164">
        <v>2708473.3200000003</v>
      </c>
      <c r="CD296" s="164">
        <v>110</v>
      </c>
      <c r="CE296" s="164">
        <v>2772706.6667833333</v>
      </c>
      <c r="CF296" s="164">
        <v>600</v>
      </c>
      <c r="CG296" s="164">
        <v>20291924.069099329</v>
      </c>
      <c r="CH296" s="164">
        <v>344</v>
      </c>
      <c r="CI296" s="164">
        <v>13044515.766717374</v>
      </c>
      <c r="CJ296" s="164">
        <v>140</v>
      </c>
      <c r="CK296" s="164">
        <v>12979910.944</v>
      </c>
      <c r="CL296" s="164"/>
      <c r="CM296" s="164"/>
      <c r="CN296" s="167">
        <v>0</v>
      </c>
      <c r="CO296" s="167">
        <v>0</v>
      </c>
      <c r="CP296" s="168">
        <v>22569</v>
      </c>
      <c r="CQ296" s="168">
        <v>1637217448.0718107</v>
      </c>
    </row>
    <row r="297" spans="1:95" s="61" customFormat="1" ht="19.5" hidden="1" customHeight="1" x14ac:dyDescent="0.25">
      <c r="A297" s="101" t="s">
        <v>700</v>
      </c>
      <c r="B297" s="162"/>
      <c r="C297" s="163"/>
      <c r="D297" s="154" t="s">
        <v>693</v>
      </c>
      <c r="E297" s="102"/>
      <c r="F297" s="102"/>
      <c r="G297" s="103"/>
      <c r="H297" s="103"/>
      <c r="I297" s="102"/>
      <c r="J297" s="102"/>
      <c r="K297" s="102"/>
      <c r="L297" s="102"/>
      <c r="M297" s="102"/>
      <c r="N297" s="102"/>
      <c r="O297" s="102"/>
      <c r="P297" s="164">
        <v>2709</v>
      </c>
      <c r="Q297" s="164">
        <v>139474664.99063224</v>
      </c>
      <c r="R297" s="164">
        <v>240</v>
      </c>
      <c r="S297" s="164">
        <v>9545852.4699999988</v>
      </c>
      <c r="T297" s="164">
        <v>1090</v>
      </c>
      <c r="U297" s="165">
        <v>83077836.617999986</v>
      </c>
      <c r="V297" s="164">
        <v>2592</v>
      </c>
      <c r="W297" s="164">
        <v>448187078.82761759</v>
      </c>
      <c r="X297" s="164">
        <v>1200</v>
      </c>
      <c r="Y297" s="164">
        <v>156463970.20392734</v>
      </c>
      <c r="Z297" s="164">
        <v>172</v>
      </c>
      <c r="AA297" s="164">
        <v>4197810.0568882991</v>
      </c>
      <c r="AB297" s="164">
        <v>237</v>
      </c>
      <c r="AC297" s="164">
        <v>6866478.6166666662</v>
      </c>
      <c r="AD297" s="164">
        <v>362</v>
      </c>
      <c r="AE297" s="164">
        <v>21036489.725163996</v>
      </c>
      <c r="AF297" s="164">
        <v>590</v>
      </c>
      <c r="AG297" s="164">
        <v>137693546.17098644</v>
      </c>
      <c r="AH297" s="164">
        <v>789</v>
      </c>
      <c r="AI297" s="164">
        <v>18772403.625480667</v>
      </c>
      <c r="AJ297" s="164"/>
      <c r="AK297" s="164"/>
      <c r="AL297" s="164">
        <v>509</v>
      </c>
      <c r="AM297" s="164">
        <v>6276101.0619999999</v>
      </c>
      <c r="AN297" s="164">
        <v>130</v>
      </c>
      <c r="AO297" s="164">
        <v>2608705.1199999996</v>
      </c>
      <c r="AP297" s="164">
        <v>0</v>
      </c>
      <c r="AQ297" s="164">
        <v>0</v>
      </c>
      <c r="AR297" s="164">
        <v>787</v>
      </c>
      <c r="AS297" s="164">
        <v>37168363.899333328</v>
      </c>
      <c r="AT297" s="164">
        <v>0</v>
      </c>
      <c r="AU297" s="164">
        <v>0</v>
      </c>
      <c r="AV297" s="164">
        <v>573</v>
      </c>
      <c r="AW297" s="164">
        <v>12543305.676999999</v>
      </c>
      <c r="AX297" s="164">
        <v>691</v>
      </c>
      <c r="AY297" s="164">
        <v>13349398.439999999</v>
      </c>
      <c r="AZ297" s="164">
        <v>44</v>
      </c>
      <c r="BA297" s="164">
        <v>822696.74666666659</v>
      </c>
      <c r="BB297" s="164">
        <v>0</v>
      </c>
      <c r="BC297" s="164">
        <v>0</v>
      </c>
      <c r="BD297" s="164">
        <v>1485</v>
      </c>
      <c r="BE297" s="164">
        <v>28501317.702909335</v>
      </c>
      <c r="BF297" s="164">
        <v>1326</v>
      </c>
      <c r="BG297" s="164">
        <v>49853695.667774923</v>
      </c>
      <c r="BH297" s="164">
        <v>1359</v>
      </c>
      <c r="BI297" s="164">
        <v>38994275.524603151</v>
      </c>
      <c r="BJ297" s="164">
        <v>396</v>
      </c>
      <c r="BK297" s="164">
        <v>11224923.136</v>
      </c>
      <c r="BL297" s="164">
        <v>262</v>
      </c>
      <c r="BM297" s="164">
        <v>17603382.333933599</v>
      </c>
      <c r="BN297" s="164">
        <v>600</v>
      </c>
      <c r="BO297" s="164">
        <v>10002584.443667199</v>
      </c>
      <c r="BP297" s="166">
        <v>0</v>
      </c>
      <c r="BQ297" s="164">
        <v>0</v>
      </c>
      <c r="BR297" s="164">
        <v>760</v>
      </c>
      <c r="BS297" s="164">
        <v>16090827.583600001</v>
      </c>
      <c r="BT297" s="164">
        <v>0</v>
      </c>
      <c r="BU297" s="164">
        <v>0</v>
      </c>
      <c r="BV297" s="164">
        <v>570</v>
      </c>
      <c r="BW297" s="164">
        <v>14134704.792814931</v>
      </c>
      <c r="BX297" s="164">
        <v>244</v>
      </c>
      <c r="BY297" s="164">
        <v>6021445.3449320002</v>
      </c>
      <c r="BZ297" s="164">
        <v>200</v>
      </c>
      <c r="CA297" s="164">
        <v>4806513.7932000002</v>
      </c>
      <c r="CB297" s="164">
        <v>360</v>
      </c>
      <c r="CC297" s="164">
        <v>2708473.3200000003</v>
      </c>
      <c r="CD297" s="164">
        <v>110</v>
      </c>
      <c r="CE297" s="164">
        <v>2772706.6667833333</v>
      </c>
      <c r="CF297" s="164">
        <v>600</v>
      </c>
      <c r="CG297" s="164">
        <v>20291924.069099329</v>
      </c>
      <c r="CH297" s="164">
        <v>344</v>
      </c>
      <c r="CI297" s="164">
        <v>13044515.766717374</v>
      </c>
      <c r="CJ297" s="164">
        <v>140</v>
      </c>
      <c r="CK297" s="164">
        <v>12979910.944</v>
      </c>
      <c r="CL297" s="164"/>
      <c r="CM297" s="164"/>
      <c r="CN297" s="167">
        <v>0</v>
      </c>
      <c r="CO297" s="167">
        <v>0</v>
      </c>
      <c r="CP297" s="168">
        <v>21471</v>
      </c>
      <c r="CQ297" s="168">
        <v>1347115903.3403981</v>
      </c>
    </row>
    <row r="298" spans="1:95" s="61" customFormat="1" ht="19.5" hidden="1" customHeight="1" x14ac:dyDescent="0.25">
      <c r="A298" s="101" t="s">
        <v>701</v>
      </c>
      <c r="B298" s="162"/>
      <c r="C298" s="163"/>
      <c r="D298" s="154" t="s">
        <v>693</v>
      </c>
      <c r="E298" s="102"/>
      <c r="F298" s="102"/>
      <c r="G298" s="103"/>
      <c r="H298" s="103"/>
      <c r="I298" s="102"/>
      <c r="J298" s="102"/>
      <c r="K298" s="102"/>
      <c r="L298" s="102"/>
      <c r="M298" s="102"/>
      <c r="N298" s="102"/>
      <c r="O298" s="102"/>
      <c r="P298" s="164">
        <v>2709</v>
      </c>
      <c r="Q298" s="164">
        <v>139474664.99063224</v>
      </c>
      <c r="R298" s="164">
        <v>240</v>
      </c>
      <c r="S298" s="164">
        <v>9545852.4699999988</v>
      </c>
      <c r="T298" s="164">
        <v>1090</v>
      </c>
      <c r="U298" s="165">
        <v>83077836.617999986</v>
      </c>
      <c r="V298" s="164">
        <v>2592</v>
      </c>
      <c r="W298" s="164">
        <v>448187078.82761759</v>
      </c>
      <c r="X298" s="164">
        <v>1200</v>
      </c>
      <c r="Y298" s="164">
        <v>156463970.20392734</v>
      </c>
      <c r="Z298" s="164">
        <v>172</v>
      </c>
      <c r="AA298" s="164">
        <v>4197810.0568882991</v>
      </c>
      <c r="AB298" s="164">
        <v>237</v>
      </c>
      <c r="AC298" s="164">
        <v>6866478.6166666662</v>
      </c>
      <c r="AD298" s="164">
        <v>362</v>
      </c>
      <c r="AE298" s="164">
        <v>21036489.725163996</v>
      </c>
      <c r="AF298" s="164">
        <v>590</v>
      </c>
      <c r="AG298" s="164">
        <v>137693546.17098644</v>
      </c>
      <c r="AH298" s="164">
        <v>789</v>
      </c>
      <c r="AI298" s="164">
        <v>18772403.625480667</v>
      </c>
      <c r="AJ298" s="164"/>
      <c r="AK298" s="164"/>
      <c r="AL298" s="164">
        <v>509</v>
      </c>
      <c r="AM298" s="164">
        <v>6276101.0619999999</v>
      </c>
      <c r="AN298" s="164">
        <v>130</v>
      </c>
      <c r="AO298" s="164">
        <v>2608705.1199999996</v>
      </c>
      <c r="AP298" s="164">
        <v>0</v>
      </c>
      <c r="AQ298" s="164">
        <v>0</v>
      </c>
      <c r="AR298" s="164">
        <v>787</v>
      </c>
      <c r="AS298" s="164">
        <v>37168363.899333328</v>
      </c>
      <c r="AT298" s="164">
        <v>0</v>
      </c>
      <c r="AU298" s="164">
        <v>0</v>
      </c>
      <c r="AV298" s="164">
        <v>573</v>
      </c>
      <c r="AW298" s="164">
        <v>12543305.676999999</v>
      </c>
      <c r="AX298" s="164">
        <v>691</v>
      </c>
      <c r="AY298" s="164">
        <v>13349398.439999999</v>
      </c>
      <c r="AZ298" s="164">
        <v>44</v>
      </c>
      <c r="BA298" s="164">
        <v>822696.74666666659</v>
      </c>
      <c r="BB298" s="164">
        <v>0</v>
      </c>
      <c r="BC298" s="164">
        <v>0</v>
      </c>
      <c r="BD298" s="164">
        <v>1485</v>
      </c>
      <c r="BE298" s="164">
        <v>28501317.702909335</v>
      </c>
      <c r="BF298" s="164">
        <v>1326</v>
      </c>
      <c r="BG298" s="164">
        <v>49853695.667774923</v>
      </c>
      <c r="BH298" s="164">
        <v>1359</v>
      </c>
      <c r="BI298" s="164">
        <v>38994275.524603151</v>
      </c>
      <c r="BJ298" s="164">
        <v>396</v>
      </c>
      <c r="BK298" s="164">
        <v>11224923.136</v>
      </c>
      <c r="BL298" s="164">
        <v>262</v>
      </c>
      <c r="BM298" s="164">
        <v>17603382.333933599</v>
      </c>
      <c r="BN298" s="164">
        <v>600</v>
      </c>
      <c r="BO298" s="164">
        <v>10002584.443667199</v>
      </c>
      <c r="BP298" s="166">
        <v>0</v>
      </c>
      <c r="BQ298" s="164">
        <v>0</v>
      </c>
      <c r="BR298" s="164">
        <v>760</v>
      </c>
      <c r="BS298" s="164">
        <v>16090827.583600001</v>
      </c>
      <c r="BT298" s="164">
        <v>0</v>
      </c>
      <c r="BU298" s="164">
        <v>0</v>
      </c>
      <c r="BV298" s="164">
        <v>570</v>
      </c>
      <c r="BW298" s="164">
        <v>14134704.792814931</v>
      </c>
      <c r="BX298" s="164">
        <v>244</v>
      </c>
      <c r="BY298" s="164">
        <v>6021445.3449320002</v>
      </c>
      <c r="BZ298" s="164">
        <v>200</v>
      </c>
      <c r="CA298" s="164">
        <v>4806513.7932000002</v>
      </c>
      <c r="CB298" s="164">
        <v>360</v>
      </c>
      <c r="CC298" s="164">
        <v>2708473.3200000003</v>
      </c>
      <c r="CD298" s="164">
        <v>110</v>
      </c>
      <c r="CE298" s="164">
        <v>2772706.6667833333</v>
      </c>
      <c r="CF298" s="164">
        <v>600</v>
      </c>
      <c r="CG298" s="164">
        <v>20291924.069099329</v>
      </c>
      <c r="CH298" s="164">
        <v>344</v>
      </c>
      <c r="CI298" s="164">
        <v>13044515.766717374</v>
      </c>
      <c r="CJ298" s="164">
        <v>140</v>
      </c>
      <c r="CK298" s="164">
        <v>12979910.944</v>
      </c>
      <c r="CL298" s="164"/>
      <c r="CM298" s="164"/>
      <c r="CN298" s="167">
        <v>0</v>
      </c>
      <c r="CO298" s="167">
        <v>0</v>
      </c>
      <c r="CP298" s="168">
        <v>21471</v>
      </c>
      <c r="CQ298" s="168">
        <v>1347115903.3403981</v>
      </c>
    </row>
    <row r="299" spans="1:95" s="61" customFormat="1" ht="19.5" hidden="1" customHeight="1" x14ac:dyDescent="0.25">
      <c r="A299" s="101" t="s">
        <v>702</v>
      </c>
      <c r="B299" s="162"/>
      <c r="C299" s="163"/>
      <c r="D299" s="154" t="s">
        <v>693</v>
      </c>
      <c r="E299" s="102"/>
      <c r="F299" s="102"/>
      <c r="G299" s="103"/>
      <c r="H299" s="103"/>
      <c r="I299" s="102"/>
      <c r="J299" s="102"/>
      <c r="K299" s="102"/>
      <c r="L299" s="102"/>
      <c r="M299" s="102"/>
      <c r="N299" s="102"/>
      <c r="O299" s="102"/>
      <c r="P299" s="164">
        <v>2709</v>
      </c>
      <c r="Q299" s="164">
        <v>139474664.99063224</v>
      </c>
      <c r="R299" s="164">
        <v>240</v>
      </c>
      <c r="S299" s="164">
        <v>9545852.4699999988</v>
      </c>
      <c r="T299" s="164">
        <v>1090</v>
      </c>
      <c r="U299" s="165">
        <v>83077836.617999986</v>
      </c>
      <c r="V299" s="164">
        <v>2592</v>
      </c>
      <c r="W299" s="164">
        <v>448187078.82761759</v>
      </c>
      <c r="X299" s="164">
        <v>1200</v>
      </c>
      <c r="Y299" s="164">
        <v>156463970.20392734</v>
      </c>
      <c r="Z299" s="164">
        <v>172</v>
      </c>
      <c r="AA299" s="164">
        <v>4197810.0568882991</v>
      </c>
      <c r="AB299" s="164">
        <v>237</v>
      </c>
      <c r="AC299" s="164">
        <v>6866478.6166666662</v>
      </c>
      <c r="AD299" s="164">
        <v>362</v>
      </c>
      <c r="AE299" s="164">
        <v>21036489.725163996</v>
      </c>
      <c r="AF299" s="164">
        <v>590</v>
      </c>
      <c r="AG299" s="164">
        <v>137693546.17098644</v>
      </c>
      <c r="AH299" s="164">
        <v>789</v>
      </c>
      <c r="AI299" s="164">
        <v>18772403.625480667</v>
      </c>
      <c r="AJ299" s="164"/>
      <c r="AK299" s="164"/>
      <c r="AL299" s="164">
        <v>509</v>
      </c>
      <c r="AM299" s="164">
        <v>6276101.0619999999</v>
      </c>
      <c r="AN299" s="164">
        <v>130</v>
      </c>
      <c r="AO299" s="164">
        <v>2608705.1199999996</v>
      </c>
      <c r="AP299" s="164">
        <v>0</v>
      </c>
      <c r="AQ299" s="164">
        <v>0</v>
      </c>
      <c r="AR299" s="164">
        <v>787</v>
      </c>
      <c r="AS299" s="164">
        <v>37168363.899333328</v>
      </c>
      <c r="AT299" s="164">
        <v>0</v>
      </c>
      <c r="AU299" s="164">
        <v>0</v>
      </c>
      <c r="AV299" s="164">
        <v>573</v>
      </c>
      <c r="AW299" s="164">
        <v>12543305.676999999</v>
      </c>
      <c r="AX299" s="164">
        <v>691</v>
      </c>
      <c r="AY299" s="164">
        <v>13349398.439999999</v>
      </c>
      <c r="AZ299" s="164">
        <v>44</v>
      </c>
      <c r="BA299" s="164">
        <v>822696.74666666659</v>
      </c>
      <c r="BB299" s="164">
        <v>0</v>
      </c>
      <c r="BC299" s="164">
        <v>0</v>
      </c>
      <c r="BD299" s="164">
        <v>1485</v>
      </c>
      <c r="BE299" s="164">
        <v>28501317.702909335</v>
      </c>
      <c r="BF299" s="164">
        <v>1326</v>
      </c>
      <c r="BG299" s="164">
        <v>49853695.667774923</v>
      </c>
      <c r="BH299" s="164">
        <v>1359</v>
      </c>
      <c r="BI299" s="164">
        <v>38994275.524603151</v>
      </c>
      <c r="BJ299" s="164">
        <v>396</v>
      </c>
      <c r="BK299" s="164">
        <v>11224923.136</v>
      </c>
      <c r="BL299" s="164">
        <v>262</v>
      </c>
      <c r="BM299" s="164">
        <v>17603382.333933599</v>
      </c>
      <c r="BN299" s="164">
        <v>600</v>
      </c>
      <c r="BO299" s="164">
        <v>10002584.443667199</v>
      </c>
      <c r="BP299" s="166">
        <v>0</v>
      </c>
      <c r="BQ299" s="164">
        <v>0</v>
      </c>
      <c r="BR299" s="164">
        <v>760</v>
      </c>
      <c r="BS299" s="164">
        <v>16090827.583600001</v>
      </c>
      <c r="BT299" s="164">
        <v>0</v>
      </c>
      <c r="BU299" s="164">
        <v>0</v>
      </c>
      <c r="BV299" s="164">
        <v>570</v>
      </c>
      <c r="BW299" s="164">
        <v>14134704.792814931</v>
      </c>
      <c r="BX299" s="164">
        <v>244</v>
      </c>
      <c r="BY299" s="164">
        <v>6021445.3449320002</v>
      </c>
      <c r="BZ299" s="164">
        <v>200</v>
      </c>
      <c r="CA299" s="164">
        <v>4806513.7932000002</v>
      </c>
      <c r="CB299" s="164">
        <v>370</v>
      </c>
      <c r="CC299" s="164">
        <v>9128475.7718369327</v>
      </c>
      <c r="CD299" s="164">
        <v>110</v>
      </c>
      <c r="CE299" s="164">
        <v>2772706.6667833333</v>
      </c>
      <c r="CF299" s="164">
        <v>600</v>
      </c>
      <c r="CG299" s="164">
        <v>20291924.069099329</v>
      </c>
      <c r="CH299" s="164">
        <v>344</v>
      </c>
      <c r="CI299" s="164">
        <v>13044515.766717374</v>
      </c>
      <c r="CJ299" s="164">
        <v>140</v>
      </c>
      <c r="CK299" s="164">
        <v>12979910.944</v>
      </c>
      <c r="CL299" s="164"/>
      <c r="CM299" s="164"/>
      <c r="CN299" s="167">
        <v>0</v>
      </c>
      <c r="CO299" s="167">
        <v>0</v>
      </c>
      <c r="CP299" s="168">
        <v>21481</v>
      </c>
      <c r="CQ299" s="168">
        <v>1353535905.7922356</v>
      </c>
    </row>
    <row r="300" spans="1:95" s="61" customFormat="1" ht="19.5" hidden="1" customHeight="1" x14ac:dyDescent="0.25">
      <c r="A300" s="101" t="s">
        <v>703</v>
      </c>
      <c r="B300" s="162"/>
      <c r="C300" s="163"/>
      <c r="D300" s="154" t="s">
        <v>693</v>
      </c>
      <c r="E300" s="102"/>
      <c r="F300" s="102"/>
      <c r="G300" s="103"/>
      <c r="H300" s="103"/>
      <c r="I300" s="102"/>
      <c r="J300" s="102"/>
      <c r="K300" s="102"/>
      <c r="L300" s="102"/>
      <c r="M300" s="102"/>
      <c r="N300" s="102"/>
      <c r="O300" s="102"/>
      <c r="P300" s="164">
        <v>2709</v>
      </c>
      <c r="Q300" s="164">
        <v>139474664.99063224</v>
      </c>
      <c r="R300" s="164">
        <v>240</v>
      </c>
      <c r="S300" s="164">
        <v>9545852.4699999988</v>
      </c>
      <c r="T300" s="164">
        <v>1090</v>
      </c>
      <c r="U300" s="165">
        <v>83077836.617999986</v>
      </c>
      <c r="V300" s="164">
        <v>2590</v>
      </c>
      <c r="W300" s="164">
        <v>448201892.52326399</v>
      </c>
      <c r="X300" s="164">
        <v>1200</v>
      </c>
      <c r="Y300" s="164">
        <v>156463970.20392734</v>
      </c>
      <c r="Z300" s="164">
        <v>172</v>
      </c>
      <c r="AA300" s="164">
        <v>4197810.0568882991</v>
      </c>
      <c r="AB300" s="164">
        <v>237</v>
      </c>
      <c r="AC300" s="164">
        <v>6866478.6166666662</v>
      </c>
      <c r="AD300" s="164">
        <v>362</v>
      </c>
      <c r="AE300" s="164">
        <v>21036489.725163996</v>
      </c>
      <c r="AF300" s="164">
        <v>578</v>
      </c>
      <c r="AG300" s="164">
        <v>137686872.43306997</v>
      </c>
      <c r="AH300" s="164">
        <v>789</v>
      </c>
      <c r="AI300" s="164">
        <v>18772403.625480667</v>
      </c>
      <c r="AJ300" s="164"/>
      <c r="AK300" s="164"/>
      <c r="AL300" s="164">
        <v>509</v>
      </c>
      <c r="AM300" s="164">
        <v>6276101.0619999999</v>
      </c>
      <c r="AN300" s="164">
        <v>130</v>
      </c>
      <c r="AO300" s="164">
        <v>2608705.1199999996</v>
      </c>
      <c r="AP300" s="164">
        <v>0</v>
      </c>
      <c r="AQ300" s="164">
        <v>0</v>
      </c>
      <c r="AR300" s="164">
        <v>787</v>
      </c>
      <c r="AS300" s="164">
        <v>37168363.899333328</v>
      </c>
      <c r="AT300" s="164">
        <v>0</v>
      </c>
      <c r="AU300" s="164">
        <v>0</v>
      </c>
      <c r="AV300" s="164">
        <v>573</v>
      </c>
      <c r="AW300" s="164">
        <v>12543305.676999999</v>
      </c>
      <c r="AX300" s="164">
        <v>691</v>
      </c>
      <c r="AY300" s="164">
        <v>13349398.439999999</v>
      </c>
      <c r="AZ300" s="164">
        <v>44</v>
      </c>
      <c r="BA300" s="164">
        <v>822696.74666666659</v>
      </c>
      <c r="BB300" s="164">
        <v>0</v>
      </c>
      <c r="BC300" s="164">
        <v>0</v>
      </c>
      <c r="BD300" s="164">
        <v>1485</v>
      </c>
      <c r="BE300" s="164">
        <v>28501317.702909335</v>
      </c>
      <c r="BF300" s="164">
        <v>1326</v>
      </c>
      <c r="BG300" s="164">
        <v>49853695.667774923</v>
      </c>
      <c r="BH300" s="164">
        <v>1359</v>
      </c>
      <c r="BI300" s="164">
        <v>38994275.524603151</v>
      </c>
      <c r="BJ300" s="164">
        <v>396</v>
      </c>
      <c r="BK300" s="164">
        <v>11224923.136</v>
      </c>
      <c r="BL300" s="164">
        <v>262</v>
      </c>
      <c r="BM300" s="164">
        <v>17603382.333933599</v>
      </c>
      <c r="BN300" s="164">
        <v>600</v>
      </c>
      <c r="BO300" s="164">
        <v>10002584.443667199</v>
      </c>
      <c r="BP300" s="166">
        <v>0</v>
      </c>
      <c r="BQ300" s="164">
        <v>0</v>
      </c>
      <c r="BR300" s="164">
        <v>760</v>
      </c>
      <c r="BS300" s="164">
        <v>16090827.583600001</v>
      </c>
      <c r="BT300" s="164">
        <v>0</v>
      </c>
      <c r="BU300" s="164">
        <v>0</v>
      </c>
      <c r="BV300" s="164">
        <v>570</v>
      </c>
      <c r="BW300" s="164">
        <v>14134704.792814931</v>
      </c>
      <c r="BX300" s="164">
        <v>244</v>
      </c>
      <c r="BY300" s="164">
        <v>6021445.3449320002</v>
      </c>
      <c r="BZ300" s="164">
        <v>200</v>
      </c>
      <c r="CA300" s="164">
        <v>4806513.7932000002</v>
      </c>
      <c r="CB300" s="164">
        <v>370</v>
      </c>
      <c r="CC300" s="164">
        <v>9128475.7718369327</v>
      </c>
      <c r="CD300" s="164">
        <v>110</v>
      </c>
      <c r="CE300" s="164">
        <v>2772706.6667833333</v>
      </c>
      <c r="CF300" s="164">
        <v>600</v>
      </c>
      <c r="CG300" s="164">
        <v>20291924.069099329</v>
      </c>
      <c r="CH300" s="164">
        <v>344</v>
      </c>
      <c r="CI300" s="164">
        <v>13044515.766717374</v>
      </c>
      <c r="CJ300" s="164">
        <v>140</v>
      </c>
      <c r="CK300" s="164">
        <v>12979910.944</v>
      </c>
      <c r="CL300" s="164"/>
      <c r="CM300" s="164"/>
      <c r="CN300" s="167">
        <v>0</v>
      </c>
      <c r="CO300" s="167">
        <v>0</v>
      </c>
      <c r="CP300" s="168">
        <v>21467</v>
      </c>
      <c r="CQ300" s="168">
        <v>1353544045.7499659</v>
      </c>
    </row>
    <row r="301" spans="1:95" s="61" customFormat="1" ht="19.5" hidden="1" customHeight="1" x14ac:dyDescent="0.25">
      <c r="A301" s="101" t="s">
        <v>704</v>
      </c>
      <c r="B301" s="162"/>
      <c r="C301" s="163"/>
      <c r="D301" s="154" t="s">
        <v>693</v>
      </c>
      <c r="E301" s="102"/>
      <c r="F301" s="102"/>
      <c r="G301" s="103"/>
      <c r="H301" s="103"/>
      <c r="I301" s="102"/>
      <c r="J301" s="102"/>
      <c r="K301" s="102"/>
      <c r="L301" s="102"/>
      <c r="M301" s="102"/>
      <c r="N301" s="102"/>
      <c r="O301" s="102"/>
      <c r="P301" s="164">
        <v>2681</v>
      </c>
      <c r="Q301" s="164">
        <v>141306445.79604959</v>
      </c>
      <c r="R301" s="164">
        <v>240</v>
      </c>
      <c r="S301" s="164">
        <v>9267355.0199999996</v>
      </c>
      <c r="T301" s="164">
        <v>1090</v>
      </c>
      <c r="U301" s="165">
        <v>79370335.547999993</v>
      </c>
      <c r="V301" s="164">
        <v>2590</v>
      </c>
      <c r="W301" s="164">
        <v>448199478.96908641</v>
      </c>
      <c r="X301" s="164">
        <v>1200</v>
      </c>
      <c r="Y301" s="164">
        <v>153131310.577344</v>
      </c>
      <c r="Z301" s="164">
        <v>172</v>
      </c>
      <c r="AA301" s="164">
        <v>4253868.0601511998</v>
      </c>
      <c r="AB301" s="164">
        <v>237</v>
      </c>
      <c r="AC301" s="164">
        <v>6714092.6999999993</v>
      </c>
      <c r="AD301" s="164">
        <v>367</v>
      </c>
      <c r="AE301" s="164">
        <v>20057373.377664</v>
      </c>
      <c r="AF301" s="164">
        <v>578</v>
      </c>
      <c r="AG301" s="164">
        <v>137689063.49157789</v>
      </c>
      <c r="AH301" s="164">
        <v>812</v>
      </c>
      <c r="AI301" s="164">
        <v>18771878.397323996</v>
      </c>
      <c r="AJ301" s="164"/>
      <c r="AK301" s="164"/>
      <c r="AL301" s="164">
        <v>509</v>
      </c>
      <c r="AM301" s="164">
        <v>6024846.4919999987</v>
      </c>
      <c r="AN301" s="164">
        <v>130</v>
      </c>
      <c r="AO301" s="164">
        <v>2622815.1599999997</v>
      </c>
      <c r="AP301" s="164">
        <v>0</v>
      </c>
      <c r="AQ301" s="164">
        <v>0</v>
      </c>
      <c r="AR301" s="164">
        <v>810</v>
      </c>
      <c r="AS301" s="164">
        <v>36592646.579999998</v>
      </c>
      <c r="AT301" s="164">
        <v>0</v>
      </c>
      <c r="AU301" s="164">
        <v>0</v>
      </c>
      <c r="AV301" s="164">
        <v>573</v>
      </c>
      <c r="AW301" s="164">
        <v>12258351.504000001</v>
      </c>
      <c r="AX301" s="164">
        <v>691</v>
      </c>
      <c r="AY301" s="164">
        <v>13032182.939999998</v>
      </c>
      <c r="AZ301" s="164">
        <v>44</v>
      </c>
      <c r="BA301" s="164">
        <v>789761.28</v>
      </c>
      <c r="BB301" s="164">
        <v>0</v>
      </c>
      <c r="BC301" s="164">
        <v>0</v>
      </c>
      <c r="BD301" s="164">
        <v>1485</v>
      </c>
      <c r="BE301" s="164">
        <v>27901086.765216</v>
      </c>
      <c r="BF301" s="164">
        <v>1326</v>
      </c>
      <c r="BG301" s="164">
        <v>48277504.879065596</v>
      </c>
      <c r="BH301" s="164">
        <v>1359</v>
      </c>
      <c r="BI301" s="164">
        <v>37629616.789663687</v>
      </c>
      <c r="BJ301" s="164">
        <v>396</v>
      </c>
      <c r="BK301" s="164">
        <v>11191096.828799998</v>
      </c>
      <c r="BL301" s="164">
        <v>262</v>
      </c>
      <c r="BM301" s="164">
        <v>16981476.4919376</v>
      </c>
      <c r="BN301" s="164">
        <v>600</v>
      </c>
      <c r="BO301" s="164">
        <v>11903344.752026878</v>
      </c>
      <c r="BP301" s="166">
        <v>0</v>
      </c>
      <c r="BQ301" s="164">
        <v>0</v>
      </c>
      <c r="BR301" s="164">
        <v>760</v>
      </c>
      <c r="BS301" s="164">
        <v>19754442.489600003</v>
      </c>
      <c r="BT301" s="164">
        <v>0</v>
      </c>
      <c r="BU301" s="164">
        <v>0</v>
      </c>
      <c r="BV301" s="164">
        <v>570</v>
      </c>
      <c r="BW301" s="164">
        <v>13770928.102905598</v>
      </c>
      <c r="BX301" s="164">
        <v>244</v>
      </c>
      <c r="BY301" s="164">
        <v>5914623.061511999</v>
      </c>
      <c r="BZ301" s="164">
        <v>200</v>
      </c>
      <c r="CA301" s="164">
        <v>4688758.8720000004</v>
      </c>
      <c r="CB301" s="164">
        <v>370</v>
      </c>
      <c r="CC301" s="164">
        <v>8860098.5835575983</v>
      </c>
      <c r="CD301" s="164">
        <v>110</v>
      </c>
      <c r="CE301" s="164">
        <v>2697122.1128999996</v>
      </c>
      <c r="CF301" s="164">
        <v>600</v>
      </c>
      <c r="CG301" s="164">
        <v>19706068.104756001</v>
      </c>
      <c r="CH301" s="164">
        <v>344</v>
      </c>
      <c r="CI301" s="164">
        <v>12766588.106834639</v>
      </c>
      <c r="CJ301" s="164">
        <v>150</v>
      </c>
      <c r="CK301" s="164">
        <v>13313759.760000002</v>
      </c>
      <c r="CL301" s="164"/>
      <c r="CM301" s="164"/>
      <c r="CN301" s="167">
        <v>0</v>
      </c>
      <c r="CO301" s="167">
        <v>0</v>
      </c>
      <c r="CP301" s="168">
        <v>21500</v>
      </c>
      <c r="CQ301" s="168">
        <v>1345438321.5939724</v>
      </c>
    </row>
    <row r="302" spans="1:95" ht="21.75" hidden="1" customHeight="1" x14ac:dyDescent="0.25">
      <c r="A302" s="26"/>
      <c r="B302" s="26"/>
      <c r="C302" s="26"/>
      <c r="D302" s="154" t="s">
        <v>693</v>
      </c>
      <c r="E302" s="26"/>
      <c r="F302" s="26"/>
      <c r="G302" s="56"/>
      <c r="H302" s="56"/>
      <c r="I302" s="26"/>
      <c r="J302" s="26"/>
      <c r="K302" s="26"/>
      <c r="L302" s="26"/>
      <c r="M302" s="26"/>
      <c r="N302" s="26"/>
      <c r="O302" s="26"/>
      <c r="P302" s="89">
        <f>P290-P291</f>
        <v>0</v>
      </c>
      <c r="Q302" s="89">
        <f t="shared" ref="Q302:CB302" si="375">Q290-Q291</f>
        <v>0</v>
      </c>
      <c r="R302" s="89">
        <f t="shared" si="375"/>
        <v>0</v>
      </c>
      <c r="S302" s="89">
        <f t="shared" si="375"/>
        <v>0</v>
      </c>
      <c r="T302" s="89">
        <f t="shared" si="375"/>
        <v>0</v>
      </c>
      <c r="U302" s="89">
        <f t="shared" si="375"/>
        <v>0</v>
      </c>
      <c r="V302" s="89">
        <f t="shared" si="375"/>
        <v>0</v>
      </c>
      <c r="W302" s="89">
        <f t="shared" si="375"/>
        <v>0</v>
      </c>
      <c r="X302" s="89">
        <f t="shared" si="375"/>
        <v>0</v>
      </c>
      <c r="Y302" s="89">
        <f t="shared" si="375"/>
        <v>0</v>
      </c>
      <c r="Z302" s="89">
        <f t="shared" si="375"/>
        <v>0</v>
      </c>
      <c r="AA302" s="89">
        <f t="shared" si="375"/>
        <v>0</v>
      </c>
      <c r="AB302" s="89">
        <f t="shared" si="375"/>
        <v>0</v>
      </c>
      <c r="AC302" s="89">
        <f t="shared" si="375"/>
        <v>0</v>
      </c>
      <c r="AD302" s="89">
        <f t="shared" si="375"/>
        <v>0</v>
      </c>
      <c r="AE302" s="89">
        <f t="shared" si="375"/>
        <v>0</v>
      </c>
      <c r="AF302" s="89">
        <f t="shared" si="375"/>
        <v>0</v>
      </c>
      <c r="AG302" s="89">
        <f t="shared" si="375"/>
        <v>0</v>
      </c>
      <c r="AH302" s="89">
        <f t="shared" si="375"/>
        <v>0</v>
      </c>
      <c r="AI302" s="89">
        <f t="shared" si="375"/>
        <v>0</v>
      </c>
      <c r="AJ302" s="89">
        <f t="shared" si="375"/>
        <v>0</v>
      </c>
      <c r="AK302" s="89">
        <f t="shared" si="375"/>
        <v>0</v>
      </c>
      <c r="AL302" s="89">
        <f t="shared" si="375"/>
        <v>0</v>
      </c>
      <c r="AM302" s="89">
        <f t="shared" si="375"/>
        <v>0</v>
      </c>
      <c r="AN302" s="89">
        <f t="shared" si="375"/>
        <v>0</v>
      </c>
      <c r="AO302" s="89">
        <f t="shared" si="375"/>
        <v>0</v>
      </c>
      <c r="AP302" s="89">
        <f t="shared" si="375"/>
        <v>0</v>
      </c>
      <c r="AQ302" s="89">
        <f t="shared" si="375"/>
        <v>0</v>
      </c>
      <c r="AR302" s="89">
        <f t="shared" si="375"/>
        <v>0</v>
      </c>
      <c r="AS302" s="89">
        <f t="shared" si="375"/>
        <v>0</v>
      </c>
      <c r="AT302" s="89">
        <f t="shared" si="375"/>
        <v>0</v>
      </c>
      <c r="AU302" s="89">
        <f t="shared" si="375"/>
        <v>0</v>
      </c>
      <c r="AV302" s="89">
        <f t="shared" si="375"/>
        <v>0</v>
      </c>
      <c r="AW302" s="89">
        <f t="shared" si="375"/>
        <v>0</v>
      </c>
      <c r="AX302" s="89">
        <f t="shared" si="375"/>
        <v>0</v>
      </c>
      <c r="AY302" s="89">
        <f t="shared" si="375"/>
        <v>0</v>
      </c>
      <c r="AZ302" s="89">
        <f t="shared" si="375"/>
        <v>0</v>
      </c>
      <c r="BA302" s="89">
        <f t="shared" si="375"/>
        <v>0</v>
      </c>
      <c r="BB302" s="89">
        <f t="shared" si="375"/>
        <v>0</v>
      </c>
      <c r="BC302" s="89">
        <f t="shared" si="375"/>
        <v>0</v>
      </c>
      <c r="BD302" s="89">
        <f t="shared" si="375"/>
        <v>0</v>
      </c>
      <c r="BE302" s="89">
        <f t="shared" si="375"/>
        <v>0</v>
      </c>
      <c r="BF302" s="89">
        <f t="shared" si="375"/>
        <v>0</v>
      </c>
      <c r="BG302" s="89">
        <f t="shared" si="375"/>
        <v>0</v>
      </c>
      <c r="BH302" s="89">
        <f t="shared" si="375"/>
        <v>0</v>
      </c>
      <c r="BI302" s="89">
        <f t="shared" si="375"/>
        <v>0</v>
      </c>
      <c r="BJ302" s="89">
        <f t="shared" si="375"/>
        <v>0</v>
      </c>
      <c r="BK302" s="89">
        <f t="shared" si="375"/>
        <v>0</v>
      </c>
      <c r="BL302" s="89">
        <f t="shared" si="375"/>
        <v>0</v>
      </c>
      <c r="BM302" s="89">
        <f t="shared" si="375"/>
        <v>0</v>
      </c>
      <c r="BN302" s="89">
        <f t="shared" si="375"/>
        <v>0</v>
      </c>
      <c r="BO302" s="89">
        <f t="shared" si="375"/>
        <v>0</v>
      </c>
      <c r="BP302" s="89">
        <f t="shared" si="375"/>
        <v>0</v>
      </c>
      <c r="BQ302" s="89">
        <f t="shared" si="375"/>
        <v>0</v>
      </c>
      <c r="BR302" s="89">
        <f t="shared" si="375"/>
        <v>0</v>
      </c>
      <c r="BS302" s="89">
        <f t="shared" si="375"/>
        <v>0</v>
      </c>
      <c r="BT302" s="89">
        <f t="shared" si="375"/>
        <v>0</v>
      </c>
      <c r="BU302" s="89">
        <f t="shared" si="375"/>
        <v>0</v>
      </c>
      <c r="BV302" s="89">
        <f t="shared" si="375"/>
        <v>0</v>
      </c>
      <c r="BW302" s="89">
        <f t="shared" si="375"/>
        <v>0</v>
      </c>
      <c r="BX302" s="89">
        <f t="shared" si="375"/>
        <v>0</v>
      </c>
      <c r="BY302" s="89">
        <f t="shared" si="375"/>
        <v>0</v>
      </c>
      <c r="BZ302" s="89">
        <f t="shared" si="375"/>
        <v>0</v>
      </c>
      <c r="CA302" s="89">
        <f t="shared" si="375"/>
        <v>0</v>
      </c>
      <c r="CB302" s="89">
        <f t="shared" si="375"/>
        <v>0</v>
      </c>
      <c r="CC302" s="89">
        <f t="shared" ref="CC302:CQ302" si="376">CC290-CC291</f>
        <v>0</v>
      </c>
      <c r="CD302" s="89">
        <f t="shared" si="376"/>
        <v>0</v>
      </c>
      <c r="CE302" s="89">
        <f t="shared" si="376"/>
        <v>0</v>
      </c>
      <c r="CF302" s="89">
        <f t="shared" si="376"/>
        <v>0</v>
      </c>
      <c r="CG302" s="89">
        <f t="shared" si="376"/>
        <v>0</v>
      </c>
      <c r="CH302" s="89">
        <f t="shared" si="376"/>
        <v>0</v>
      </c>
      <c r="CI302" s="89">
        <f t="shared" si="376"/>
        <v>0</v>
      </c>
      <c r="CJ302" s="89">
        <f t="shared" si="376"/>
        <v>0</v>
      </c>
      <c r="CK302" s="89">
        <f t="shared" si="376"/>
        <v>0</v>
      </c>
      <c r="CL302" s="89">
        <f t="shared" si="376"/>
        <v>0</v>
      </c>
      <c r="CM302" s="89">
        <f t="shared" si="376"/>
        <v>0</v>
      </c>
      <c r="CN302" s="89">
        <f t="shared" si="376"/>
        <v>0</v>
      </c>
      <c r="CO302" s="89">
        <f t="shared" si="376"/>
        <v>0</v>
      </c>
      <c r="CP302" s="89">
        <f t="shared" si="376"/>
        <v>0</v>
      </c>
      <c r="CQ302" s="89">
        <f t="shared" si="376"/>
        <v>0</v>
      </c>
    </row>
    <row r="303" spans="1:95" x14ac:dyDescent="0.25">
      <c r="A303" s="151" t="s">
        <v>705</v>
      </c>
      <c r="B303" s="26"/>
      <c r="C303" s="26"/>
      <c r="D303" s="154" t="s">
        <v>708</v>
      </c>
      <c r="E303" s="26"/>
      <c r="F303" s="26"/>
      <c r="G303" s="56"/>
      <c r="H303" s="56"/>
      <c r="I303" s="26"/>
      <c r="J303" s="26"/>
      <c r="K303" s="26"/>
      <c r="L303" s="26"/>
      <c r="M303" s="26"/>
      <c r="N303" s="26"/>
      <c r="O303" s="26"/>
      <c r="P303" s="170">
        <v>2545</v>
      </c>
      <c r="Q303" s="169">
        <v>142589152.04652396</v>
      </c>
      <c r="R303" s="169">
        <v>208</v>
      </c>
      <c r="S303" s="169">
        <v>8376555.481933333</v>
      </c>
      <c r="T303" s="170">
        <v>1100</v>
      </c>
      <c r="U303" s="169">
        <v>89056974.127898127</v>
      </c>
      <c r="V303" s="169">
        <v>3326</v>
      </c>
      <c r="W303" s="169">
        <v>612161693.40173244</v>
      </c>
      <c r="X303" s="169">
        <v>1200</v>
      </c>
      <c r="Y303" s="169">
        <v>156463970.20392734</v>
      </c>
      <c r="Z303" s="169">
        <v>172</v>
      </c>
      <c r="AA303" s="169">
        <v>4164939.8989391332</v>
      </c>
      <c r="AB303" s="169">
        <v>237</v>
      </c>
      <c r="AC303" s="169">
        <v>6866478.6166666662</v>
      </c>
      <c r="AD303" s="169">
        <v>362</v>
      </c>
      <c r="AE303" s="169">
        <v>21036489.725163996</v>
      </c>
      <c r="AF303" s="169">
        <v>1102</v>
      </c>
      <c r="AG303" s="169">
        <v>280245007.72866744</v>
      </c>
      <c r="AH303" s="169">
        <v>371</v>
      </c>
      <c r="AI303" s="169">
        <v>8715835.639048025</v>
      </c>
      <c r="AJ303" s="169">
        <v>445</v>
      </c>
      <c r="AK303" s="169">
        <v>11065645.989999998</v>
      </c>
      <c r="AL303" s="169">
        <v>329</v>
      </c>
      <c r="AM303" s="169">
        <v>4412412.466</v>
      </c>
      <c r="AN303" s="169">
        <v>80</v>
      </c>
      <c r="AO303" s="169">
        <v>1601135.6199999999</v>
      </c>
      <c r="AP303" s="169">
        <v>0</v>
      </c>
      <c r="AQ303" s="169">
        <v>0</v>
      </c>
      <c r="AR303" s="171">
        <v>787</v>
      </c>
      <c r="AS303" s="171">
        <v>37168363.899333328</v>
      </c>
      <c r="AT303" s="169">
        <v>0</v>
      </c>
      <c r="AU303" s="169">
        <v>0</v>
      </c>
      <c r="AV303" s="169">
        <v>573</v>
      </c>
      <c r="AW303" s="173">
        <v>9001378.744238602</v>
      </c>
      <c r="AX303" s="169">
        <v>691</v>
      </c>
      <c r="AY303" s="169">
        <v>13349398.439999999</v>
      </c>
      <c r="AZ303" s="169">
        <v>44</v>
      </c>
      <c r="BA303" s="169">
        <v>822696.74666666659</v>
      </c>
      <c r="BB303" s="169">
        <v>0</v>
      </c>
      <c r="BC303" s="169">
        <v>0</v>
      </c>
      <c r="BD303" s="169">
        <v>1485</v>
      </c>
      <c r="BE303" s="169">
        <v>27309968.827911384</v>
      </c>
      <c r="BF303" s="169">
        <v>1092</v>
      </c>
      <c r="BG303" s="169">
        <v>42350196.666174926</v>
      </c>
      <c r="BH303" s="169">
        <v>1359</v>
      </c>
      <c r="BI303" s="169">
        <v>38994275.524603151</v>
      </c>
      <c r="BJ303" s="169">
        <v>352</v>
      </c>
      <c r="BK303" s="169">
        <v>9233300.7508000005</v>
      </c>
      <c r="BL303" s="169">
        <v>244</v>
      </c>
      <c r="BM303" s="169">
        <v>16873713.711362801</v>
      </c>
      <c r="BN303" s="169">
        <v>600</v>
      </c>
      <c r="BO303" s="169">
        <v>11145639.235973798</v>
      </c>
      <c r="BP303" s="172">
        <v>0</v>
      </c>
      <c r="BQ303" s="169">
        <v>0</v>
      </c>
      <c r="BR303" s="169">
        <v>760</v>
      </c>
      <c r="BS303" s="169">
        <v>18067370.3660434</v>
      </c>
      <c r="BT303" s="169">
        <v>0</v>
      </c>
      <c r="BU303" s="169">
        <v>0</v>
      </c>
      <c r="BV303" s="170">
        <v>570</v>
      </c>
      <c r="BW303" s="169">
        <v>17277840.921060305</v>
      </c>
      <c r="BX303" s="169">
        <v>244</v>
      </c>
      <c r="BY303" s="169">
        <v>6021445.3449320002</v>
      </c>
      <c r="BZ303" s="169">
        <v>200</v>
      </c>
      <c r="CA303" s="169">
        <v>4700107.4827033347</v>
      </c>
      <c r="CB303" s="169">
        <v>360</v>
      </c>
      <c r="CC303" s="169">
        <v>9496646.2708126139</v>
      </c>
      <c r="CD303" s="169">
        <v>110</v>
      </c>
      <c r="CE303" s="169">
        <v>9576716.1052029748</v>
      </c>
      <c r="CF303" s="169">
        <v>600</v>
      </c>
      <c r="CG303" s="169">
        <v>32898617.642785363</v>
      </c>
      <c r="CH303" s="169">
        <v>344</v>
      </c>
      <c r="CI303" s="169">
        <v>29151821.410139445</v>
      </c>
      <c r="CJ303" s="169">
        <v>140</v>
      </c>
      <c r="CK303" s="169">
        <v>12979910.944</v>
      </c>
      <c r="CL303" s="169">
        <v>5</v>
      </c>
      <c r="CM303" s="169">
        <v>871690.39999999991</v>
      </c>
      <c r="CN303" s="169">
        <v>0</v>
      </c>
      <c r="CO303" s="169">
        <v>0</v>
      </c>
      <c r="CP303" s="169">
        <f>SUM(P303,R303,T303,V303,X303,Z303,AB303,AD303,AF303,AH303,AJ303,AL303,AN303,AP303,AR303,AT303,AV303,AX303,AZ303,BB303,BD303,BF303,BH303,BJ303,BL303,BN303,BP303,BR303,BT303,BV303,BX303,BZ303,CB303,CD303,CF303,CH303,CJ303,CL303,CN303)</f>
        <v>22037</v>
      </c>
      <c r="CQ303" s="169">
        <f>SUM(Q303,S303,U303,W303,Y303,AA303,AC303,AE303,AG303,AI303,AK303,AM303,AO303,AQ303,AS303,AU303,AW303,AY303,BA303,BC303,BE303,BG303,BI303,BK303,BM303,BO303,BQ303,BS303,BU303,BW303,BY303,CA303,CC303,CE303,CG303,CI303,CK303,CM303,CO303)</f>
        <v>1694047390.3812447</v>
      </c>
    </row>
    <row r="304" spans="1:95" x14ac:dyDescent="0.25">
      <c r="D304" s="1" t="s">
        <v>707</v>
      </c>
      <c r="CP304" s="174">
        <f>SUM(AV303+BD303+BN303+BR303+BT303+BV303+BZ303+CB303+CD303+CF303+CH303)</f>
        <v>5602</v>
      </c>
      <c r="CQ304" s="174">
        <f>SUM(AW303+BE303+BO303+BS303+BU303+BW303+CA303+CC303+CE303+CG303+CI303)</f>
        <v>168626107.00687122</v>
      </c>
    </row>
    <row r="305" spans="95:95" x14ac:dyDescent="0.25">
      <c r="CQ305" s="174"/>
    </row>
  </sheetData>
  <autoFilter ref="A10:CQ302"/>
  <mergeCells count="166">
    <mergeCell ref="CH7:CI7"/>
    <mergeCell ref="CJ7:CK7"/>
    <mergeCell ref="CN7:CO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X7:Y7"/>
    <mergeCell ref="Z7:AA7"/>
    <mergeCell ref="AB7:AC7"/>
    <mergeCell ref="AD7:AE7"/>
    <mergeCell ref="AF7:AG7"/>
    <mergeCell ref="AH7:AI7"/>
    <mergeCell ref="CL6:CM6"/>
    <mergeCell ref="CN6:CO6"/>
    <mergeCell ref="L7:L8"/>
    <mergeCell ref="M7:M8"/>
    <mergeCell ref="N7:N8"/>
    <mergeCell ref="O7:O8"/>
    <mergeCell ref="P7:Q7"/>
    <mergeCell ref="R7:S7"/>
    <mergeCell ref="T7:U7"/>
    <mergeCell ref="V7:W7"/>
    <mergeCell ref="BZ6:CA6"/>
    <mergeCell ref="CB6:CC6"/>
    <mergeCell ref="CD6:CE6"/>
    <mergeCell ref="CF6:CG6"/>
    <mergeCell ref="CH6:CI6"/>
    <mergeCell ref="CJ6:CK6"/>
    <mergeCell ref="BN6:BO6"/>
    <mergeCell ref="BP6:BQ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AV6:AW6"/>
    <mergeCell ref="AX6:AY6"/>
    <mergeCell ref="AZ6:BA6"/>
    <mergeCell ref="AB6:AC6"/>
    <mergeCell ref="AD6:AE6"/>
    <mergeCell ref="AF6:AG6"/>
    <mergeCell ref="AH6:AI6"/>
    <mergeCell ref="AL6:AM6"/>
    <mergeCell ref="AN6:AO6"/>
    <mergeCell ref="P6:Q6"/>
    <mergeCell ref="R6:S6"/>
    <mergeCell ref="T6:U6"/>
    <mergeCell ref="V6:W6"/>
    <mergeCell ref="X6:Y6"/>
    <mergeCell ref="Z6:AA6"/>
    <mergeCell ref="CJ5:CK5"/>
    <mergeCell ref="CL5:CM5"/>
    <mergeCell ref="CN5:CO5"/>
    <mergeCell ref="CP5:CQ5"/>
    <mergeCell ref="BX5:BY5"/>
    <mergeCell ref="BZ5:CA5"/>
    <mergeCell ref="CB5:CC5"/>
    <mergeCell ref="CD5:CE5"/>
    <mergeCell ref="CF5:CG5"/>
    <mergeCell ref="CH5:CI5"/>
    <mergeCell ref="BL5:BM5"/>
    <mergeCell ref="BN5:BO5"/>
    <mergeCell ref="BP5:BQ5"/>
    <mergeCell ref="BR5:BS5"/>
    <mergeCell ref="BT5:BU5"/>
    <mergeCell ref="BV5:BW5"/>
    <mergeCell ref="AZ5:BA5"/>
    <mergeCell ref="BB5:BC5"/>
    <mergeCell ref="BD5:BE5"/>
    <mergeCell ref="BF5:BG5"/>
    <mergeCell ref="BH5:BI5"/>
    <mergeCell ref="BJ5:BK5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T5:U5"/>
    <mergeCell ref="V5:W5"/>
    <mergeCell ref="X5:Y5"/>
    <mergeCell ref="Z5:AA5"/>
    <mergeCell ref="G5:G8"/>
    <mergeCell ref="H5:H8"/>
    <mergeCell ref="I5:I8"/>
    <mergeCell ref="J5:J8"/>
    <mergeCell ref="K5:K8"/>
    <mergeCell ref="L5:O5"/>
    <mergeCell ref="L6:O6"/>
    <mergeCell ref="CH4:CI4"/>
    <mergeCell ref="CJ4:CK4"/>
    <mergeCell ref="A5:A8"/>
    <mergeCell ref="B5:B8"/>
    <mergeCell ref="C5:C8"/>
    <mergeCell ref="D5:D8"/>
    <mergeCell ref="E5:E8"/>
    <mergeCell ref="F5:F8"/>
    <mergeCell ref="BP4:BQ4"/>
    <mergeCell ref="BT4:BU4"/>
    <mergeCell ref="BV4:BW4"/>
    <mergeCell ref="BX4:BY4"/>
    <mergeCell ref="BZ4:CA4"/>
    <mergeCell ref="CB4:CC4"/>
    <mergeCell ref="BD4:BE4"/>
    <mergeCell ref="BF4:BG4"/>
    <mergeCell ref="BH4:BI4"/>
    <mergeCell ref="BJ4:BK4"/>
    <mergeCell ref="BL4:BM4"/>
    <mergeCell ref="BN4:BO4"/>
    <mergeCell ref="AR4:AS4"/>
    <mergeCell ref="AT4:AU4"/>
    <mergeCell ref="P5:Q5"/>
    <mergeCell ref="R5:S5"/>
    <mergeCell ref="BB4:BC4"/>
    <mergeCell ref="AD4:AE4"/>
    <mergeCell ref="AF4:AG4"/>
    <mergeCell ref="AH4:AI4"/>
    <mergeCell ref="AL4:AM4"/>
    <mergeCell ref="AN4:AO4"/>
    <mergeCell ref="AP4:AQ4"/>
    <mergeCell ref="CD4:CE4"/>
    <mergeCell ref="CF4:CG4"/>
    <mergeCell ref="D1:H1"/>
    <mergeCell ref="D2:H2"/>
    <mergeCell ref="AB2:AC2"/>
    <mergeCell ref="R4:S4"/>
    <mergeCell ref="T4:U4"/>
    <mergeCell ref="AB4:AC4"/>
    <mergeCell ref="AV4:AW4"/>
    <mergeCell ref="AX4:AY4"/>
    <mergeCell ref="AZ4:BA4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2025-01-10T01:41:19Z</dcterms:created>
  <dcterms:modified xsi:type="dcterms:W3CDTF">2025-01-10T06:52:58Z</dcterms:modified>
</cp:coreProperties>
</file>